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1085" windowHeight="8940" firstSheet="1" activeTab="3"/>
  </bookViews>
  <sheets>
    <sheet name="Skriveni" sheetId="1" state="hidden" r:id="rId1"/>
    <sheet name="Novosti" sheetId="2" r:id="rId2"/>
    <sheet name="Uputa" sheetId="3" r:id="rId3"/>
    <sheet name="Opci" sheetId="4" r:id="rId4"/>
    <sheet name="Bilanca" sheetId="5" r:id="rId5"/>
    <sheet name="RDG" sheetId="6" r:id="rId6"/>
    <sheet name="BanDop" sheetId="7" r:id="rId7"/>
    <sheet name="NT_I" sheetId="8" r:id="rId8"/>
    <sheet name="NT_D" sheetId="9" r:id="rId9"/>
    <sheet name="PK" sheetId="10" r:id="rId10"/>
    <sheet name="ListaMB" sheetId="11" r:id="rId11"/>
    <sheet name="Kont" sheetId="12" r:id="rId12"/>
    <sheet name="Djel" sheetId="13" r:id="rId13"/>
    <sheet name="Opcine" sheetId="14" r:id="rId14"/>
    <sheet name="Promjene" sheetId="15" r:id="rId15"/>
  </sheets>
  <definedNames>
    <definedName name="OLE_LINK3" localSheetId="4">'Bilanca'!$A$9</definedName>
    <definedName name="_xlnm.Print_Area" localSheetId="6">'BanDop'!$A$3:$L$123</definedName>
    <definedName name="_xlnm.Print_Area" localSheetId="4">'Bilanca'!$A$3:$L$59</definedName>
    <definedName name="_xlnm.Print_Area" localSheetId="12">'Djel'!$A$4:$J$619</definedName>
    <definedName name="_xlnm.Print_Area" localSheetId="11">'Kont'!$A$3:$J$31</definedName>
    <definedName name="_xlnm.Print_Area" localSheetId="10">'ListaMB'!$A$4:$K$108</definedName>
    <definedName name="_xlnm.Print_Area" localSheetId="1">'Novosti'!$A$3:$J$29</definedName>
    <definedName name="_xlnm.Print_Area" localSheetId="8">'NT_D'!$A$3:$L$56</definedName>
    <definedName name="_xlnm.Print_Area" localSheetId="7">'NT_I'!$A$3:$L$53</definedName>
    <definedName name="_xlnm.Print_Area" localSheetId="3">'Opci'!$A$12:$N$74</definedName>
    <definedName name="_xlnm.Print_Area" localSheetId="13">'Opcine'!$A$4:$J$190</definedName>
    <definedName name="_xlnm.Print_Area" localSheetId="9">'PK'!$A$3:$M$26</definedName>
    <definedName name="_xlnm.Print_Area" localSheetId="14">'Promjene'!$A$4:$J$23</definedName>
    <definedName name="_xlnm.Print_Area" localSheetId="5">'RDG'!$A$3:$L$37</definedName>
    <definedName name="_xlnm.Print_Area" localSheetId="2">'Uputa'!$A$4:$J$56</definedName>
    <definedName name="_xlnm.Print_Titles" localSheetId="6">'BanDop'!$3:$8</definedName>
    <definedName name="_xlnm.Print_Titles" localSheetId="4">'Bilanca'!$3:$8</definedName>
    <definedName name="_xlnm.Print_Titles" localSheetId="12">'Djel'!$4:$4</definedName>
    <definedName name="_xlnm.Print_Titles" localSheetId="11">'Kont'!$3:$3</definedName>
    <definedName name="_xlnm.Print_Titles" localSheetId="10">'ListaMB'!$4:$8</definedName>
    <definedName name="_xlnm.Print_Titles" localSheetId="13">'Opcine'!$4:$4</definedName>
  </definedNames>
  <calcPr fullCalcOnLoad="1"/>
</workbook>
</file>

<file path=xl/comments2.xml><?xml version="1.0" encoding="utf-8"?>
<comments xmlns="http://schemas.openxmlformats.org/spreadsheetml/2006/main">
  <authors>
    <author>Željko Strunjak</author>
  </authors>
  <commentList>
    <comment ref="A18" authorId="0">
      <text>
        <r>
          <rPr>
            <b/>
            <sz val="8"/>
            <rFont val="Tahoma"/>
            <family val="2"/>
          </rPr>
          <t>Naputak:</t>
        </r>
        <r>
          <rPr>
            <sz val="8"/>
            <rFont val="Tahoma"/>
            <family val="2"/>
          </rPr>
          <t xml:space="preserve">
Upišite šifru (1, 2 ili 3) prema tome na koji način planirate predati godišnji financijski izvještaj za javnu objavu.</t>
        </r>
      </text>
    </comment>
  </commentList>
</comments>
</file>

<file path=xl/comments3.xml><?xml version="1.0" encoding="utf-8"?>
<comments xmlns="http://schemas.openxmlformats.org/spreadsheetml/2006/main">
  <authors>
    <author>Željko Strunjak</author>
  </authors>
  <commentList>
    <comment ref="A26" authorId="0">
      <text>
        <r>
          <rPr>
            <b/>
            <sz val="8"/>
            <rFont val="Tahoma"/>
            <family val="2"/>
          </rPr>
          <t>Naputak:</t>
        </r>
        <r>
          <rPr>
            <sz val="8"/>
            <rFont val="Tahoma"/>
            <family val="2"/>
          </rPr>
          <t xml:space="preserve">
Primjer komentara kakvi se nalaze na mnogim poljima u Excel datoteci.</t>
        </r>
      </text>
    </comment>
  </commentList>
</comments>
</file>

<file path=xl/comments4.xml><?xml version="1.0" encoding="utf-8"?>
<comments xmlns="http://schemas.openxmlformats.org/spreadsheetml/2006/main">
  <authors>
    <author>Željko Strunjak</author>
  </authors>
  <commentList>
    <comment ref="A21" authorId="0">
      <text>
        <r>
          <rPr>
            <b/>
            <sz val="8"/>
            <rFont val="Tahoma"/>
            <family val="2"/>
          </rPr>
          <t>Naputak:</t>
        </r>
        <r>
          <rPr>
            <sz val="8"/>
            <rFont val="Tahoma"/>
            <family val="2"/>
          </rPr>
          <t xml:space="preserve">
Tvrtke registrirane u trgovačkom sudu upisuju matični broj suda (devet znamenaka), ostali ne upisuju ništa.</t>
        </r>
      </text>
    </comment>
    <comment ref="A45"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41" authorId="0">
      <text>
        <r>
          <rPr>
            <b/>
            <sz val="8"/>
            <rFont val="Tahoma"/>
            <family val="2"/>
          </rPr>
          <t>Uputa:</t>
        </r>
        <r>
          <rPr>
            <sz val="8"/>
            <rFont val="Tahoma"/>
            <family val="2"/>
          </rPr>
          <t xml:space="preserve">
Ako je izvještaj konsolidiran, mora postojati barem jedan subjekt konsolidacije na listi subjekata konsolidacije, te moraju biti u Računu dobiti i gubitka, Bilanci i ostalim tablicama gdje je to navedeno popunjeni i podaci o tome koji dio neke stavke (dobiti, prihoda, itd.) predstavlja rezultate matice, a koji dio predstavlja manjinski interes. Ako je izvještaj konsolidiran u ovo polje upišite "DA", a ako nije, upisujete "NE". Polje ne smije ostati nepopunjeno.</t>
        </r>
      </text>
    </comment>
    <comment ref="A25"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1"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3" authorId="0">
      <text>
        <r>
          <rPr>
            <b/>
            <sz val="8"/>
            <rFont val="Tahoma"/>
            <family val="2"/>
          </rPr>
          <t>Uputa:</t>
        </r>
        <r>
          <rPr>
            <sz val="8"/>
            <rFont val="Tahoma"/>
            <family val="2"/>
          </rPr>
          <t xml:space="preserve">
Upisuje se adresa službenih internet stranica obveznika, bez http:// - samo www.stranica.hr).</t>
        </r>
      </text>
    </comment>
    <comment ref="A51"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i bez znaka postotka.  Zbroj oba postotka mora biti 100. Ako je porijeklo kaptala samo domaće ili samo strano, u pripadajuću kućicu upisuje se 100 a u drugu 0.</t>
        </r>
      </text>
    </comment>
    <comment ref="H37"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A19" authorId="0">
      <text>
        <r>
          <rPr>
            <b/>
            <sz val="8"/>
            <rFont val="Tahoma"/>
            <family val="2"/>
          </rPr>
          <t>Uputa:</t>
        </r>
        <r>
          <rPr>
            <sz val="8"/>
            <rFont val="Tahoma"/>
            <family val="2"/>
          </rPr>
          <t xml:space="preserve">
Upisuje se matični broj obveznika dodijeljen od Državnog zavoda za statistiku, na osam znamenaka, s vodećim nulama za matične brojeve kraće od osam znamenaka.
Obrtnici upisuju matični broj koji počinje s brojem 9, a slobodna zanimanja matični broj koji počinje s brojem 8 kao vodećim brojem.</t>
        </r>
      </text>
    </comment>
    <comment ref="A47" authorId="0">
      <text>
        <r>
          <rPr>
            <b/>
            <sz val="8"/>
            <rFont val="Tahoma"/>
            <family val="2"/>
          </rPr>
          <t>Pojašnjenje:</t>
        </r>
        <r>
          <rPr>
            <sz val="8"/>
            <rFont val="Tahoma"/>
            <family val="2"/>
          </rPr>
          <t xml:space="preserve">
Financijske institucije se sve smatraju velikim poduzetnicima bez obzira na ostvarene poslovne rezultate te su dužne predavati nestandardnu dokumentaciju kao i ostali veliki poduzetnici.</t>
        </r>
      </text>
    </comment>
    <comment ref="A43" authorId="0">
      <text>
        <r>
          <rPr>
            <b/>
            <sz val="8"/>
            <rFont val="Tahoma"/>
            <family val="2"/>
          </rPr>
          <t>Uputa:</t>
        </r>
        <r>
          <rPr>
            <sz val="8"/>
            <rFont val="Tahoma"/>
            <family val="2"/>
          </rPr>
          <t xml:space="preserve">
Kod predaje samo u statističke svrhe, upisuje se "NE" (za statistiku se ne predaje izvješće revizora), a u svrhu predaje za javnu objavu ili javnu objavu i statistiku, upisuje se DA jer sve banke i štedionice za javnu objavu moraju predati i revizorsko izvješće.</t>
        </r>
      </text>
    </comment>
    <comment ref="A23" authorId="0">
      <text>
        <r>
          <rPr>
            <b/>
            <sz val="8"/>
            <rFont val="Tahoma"/>
            <family val="2"/>
          </rPr>
          <t>Naputak:</t>
        </r>
        <r>
          <rPr>
            <sz val="8"/>
            <rFont val="Tahoma"/>
            <family val="2"/>
          </rPr>
          <t xml:space="preserve">
Od 1. siječnja 2010. godine, OIB postaje obavezan podataka bez obzira na vrstu subjekta, razdoblje za koje se obrazac predaje i svrhu predaje. </t>
        </r>
      </text>
    </comment>
    <comment ref="D43" authorId="0">
      <text>
        <r>
          <rPr>
            <b/>
            <sz val="8"/>
            <rFont val="Tahoma"/>
            <family val="2"/>
          </rPr>
          <t>Napomena:</t>
        </r>
        <r>
          <rPr>
            <sz val="8"/>
            <rFont val="Tahoma"/>
            <family val="2"/>
          </rPr>
          <t xml:space="preserve">
Ako je izvještaj revidiran, upisuje se OIB revizorskog društva ili samostalnog revizora koji je revidirao financijski izvještaj.</t>
        </r>
      </text>
    </comment>
  </commentList>
</comments>
</file>

<file path=xl/sharedStrings.xml><?xml version="1.0" encoding="utf-8"?>
<sst xmlns="http://schemas.openxmlformats.org/spreadsheetml/2006/main" count="4373" uniqueCount="2627">
  <si>
    <t>Investicije u novu dugotrajnu imovinu (AOP 186) - Iskazuje se ukupan iznos nove dugotrajne imovine (osim zemljišta i šuma) nabavljene od proizvođača ili trgovaca, izgrađene nove dugotrajne imovine i nabave nove dugotrajne imovine financijskim leasingom u izvještajnoj godini, neovisno o tome jesu li obveze za nju plaćene ili nisu. Uključuju se također investicije u vlastitoj režiji, vrijednost nove dugotrajne imovine dobivene bez naknade, prirast osnovnog stada, pošumljavanje i dugogodišnji nasadi, troškovi investicijskog održavanja i znatnijeg poboljšanja imovine prema fakturama neovisno o tome jesu li i plaćeni, te investicije u tijeku (kod građevinskih objekata prema računima za privremene obračunske situacije). U novu imovinu uključuje se i rabljena dugotrajna imovina uvezena iz inozemstva.</t>
  </si>
  <si>
    <r>
      <t xml:space="preserve">Ne uključuju </t>
    </r>
    <r>
      <rPr>
        <sz val="8"/>
        <color indexed="56"/>
        <rFont val="Arial"/>
        <family val="2"/>
      </rPr>
      <t xml:space="preserve">se ulaganja dugotrajne imovine od strane vlasnika u korist pričuva ili radi povećanja temeljnog kapitala, tekuće održavanje imovine, rabljena dugotrajna imovina nabavljena ili dobivena u zemlji i investicije u financijsku imovinu. </t>
    </r>
  </si>
  <si>
    <t>Izvještaj kojeg sastavlja  obveznika koji zbog statusnih promjena gubi pravnu osobnost.</t>
  </si>
  <si>
    <r>
      <t xml:space="preserve">Kod upisa </t>
    </r>
    <r>
      <rPr>
        <b/>
        <sz val="8"/>
        <color indexed="56"/>
        <rFont val="Arial"/>
        <family val="2"/>
      </rPr>
      <t>općih podataka</t>
    </r>
    <r>
      <rPr>
        <sz val="8"/>
        <color indexed="56"/>
        <rFont val="Arial"/>
        <family val="2"/>
      </rPr>
      <t xml:space="preserve">, upisuju se šifra općine, šifra razreda djelatnosti, šifra svrhe predaje. Šifre općina (abecednim redom) dane su na radnom listu </t>
    </r>
    <r>
      <rPr>
        <b/>
        <sz val="8"/>
        <color indexed="56"/>
        <rFont val="Arial"/>
        <family val="2"/>
      </rPr>
      <t>Opcine</t>
    </r>
    <r>
      <rPr>
        <sz val="8"/>
        <color indexed="56"/>
        <rFont val="Arial"/>
        <family val="2"/>
      </rPr>
      <t xml:space="preserve">, šifre razreda djelatnosti na radnom listu </t>
    </r>
    <r>
      <rPr>
        <b/>
        <sz val="8"/>
        <color indexed="56"/>
        <rFont val="Arial"/>
        <family val="2"/>
      </rPr>
      <t>Djelat</t>
    </r>
    <r>
      <rPr>
        <sz val="8"/>
        <color indexed="56"/>
        <rFont val="Arial"/>
        <family val="2"/>
      </rPr>
      <t>, a šifre vrste izvještaja dane su u nastavku ovih uputa</t>
    </r>
    <r>
      <rPr>
        <b/>
        <sz val="8"/>
        <color indexed="56"/>
        <rFont val="Arial"/>
        <family val="2"/>
      </rPr>
      <t>.</t>
    </r>
    <r>
      <rPr>
        <sz val="8"/>
        <color indexed="56"/>
        <rFont val="Arial"/>
        <family val="2"/>
      </rPr>
      <t xml:space="preserve"> Upisom pojedine šifre u neko polje, pored šifre polja pojavljuje se tekst značenja te šifre kako bi se što je moguće više smanjila mogućnost pogreške prilikom upisa bilo koje šifre.</t>
    </r>
  </si>
  <si>
    <t xml:space="preserve">  36. Primici u naravi</t>
  </si>
  <si>
    <t xml:space="preserve">  37. Otpremnine</t>
  </si>
  <si>
    <t xml:space="preserve">  38. Naknade članovima uprave</t>
  </si>
  <si>
    <t xml:space="preserve">  39. Troškovi reprezentacije, reklame i propagande</t>
  </si>
  <si>
    <t xml:space="preserve">  40. Premije osiguranja (bruto)</t>
  </si>
  <si>
    <t xml:space="preserve">  42. Izdaci za rad ostvaren preko studentskih i učeničkih servisa</t>
  </si>
  <si>
    <t xml:space="preserve">  43. Stipendije</t>
  </si>
  <si>
    <t xml:space="preserve">  44. Porezi koji ne ovise o dobitku i pristojbe</t>
  </si>
  <si>
    <t xml:space="preserve">  45. Doprinosi i članarine iz prihoda</t>
  </si>
  <si>
    <t xml:space="preserve">  46. Troškovi poreza i prireza iz plaća</t>
  </si>
  <si>
    <t xml:space="preserve">  47. Troškovi usluga investicijskog održavanja</t>
  </si>
  <si>
    <t xml:space="preserve">  48. Investicije u novu dugotrajnu imovinu</t>
  </si>
  <si>
    <t>Kontrolni zbroj (174 do 186)</t>
  </si>
  <si>
    <t>1086</t>
  </si>
  <si>
    <t>Proizvodnja homogeniziranih prehrambenih pripravaka i dijetetske hrane</t>
  </si>
  <si>
    <t>1089</t>
  </si>
  <si>
    <t xml:space="preserve">Proizvodnja ostalih prehrambenih proizvoda, d. n. </t>
  </si>
  <si>
    <t>1091</t>
  </si>
  <si>
    <t>Proizvodnja pripremljene stočne hrane</t>
  </si>
  <si>
    <t>1092</t>
  </si>
  <si>
    <t>Proizvodnja pripremljene hrane za kućne ljubimce</t>
  </si>
  <si>
    <t>1101</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</si>
  <si>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</si>
  <si>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</si>
  <si>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</si>
  <si>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</si>
  <si>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</si>
  <si>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</si>
  <si>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</si>
  <si>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</si>
  <si>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</si>
  <si>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</si>
  <si>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</si>
  <si>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</si>
  <si>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</si>
  <si>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</si>
  <si>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</si>
  <si>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</si>
  <si>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</si>
  <si>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</si>
  <si>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</si>
  <si>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</si>
  <si>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Proizvodnja uređaja za dizanje i prenošenje</t>
  </si>
  <si>
    <t>2823</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</si>
  <si>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</si>
  <si>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</si>
  <si>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</si>
  <si>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</si>
  <si>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</si>
  <si>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</si>
  <si>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</si>
  <si>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</si>
  <si>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</si>
  <si>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</si>
  <si>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</si>
  <si>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</si>
  <si>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</si>
  <si>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</si>
  <si>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</si>
  <si>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</si>
  <si>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</si>
  <si>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</si>
  <si>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</si>
  <si>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</si>
  <si>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</si>
  <si>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</si>
  <si>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</si>
  <si>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</si>
  <si>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</si>
  <si>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</si>
  <si>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</si>
  <si>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</si>
  <si>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</si>
  <si>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</si>
  <si>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</si>
  <si>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</si>
  <si>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</si>
  <si>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</si>
  <si>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</si>
  <si>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</si>
  <si>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</si>
  <si>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</si>
  <si>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</si>
  <si>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</si>
  <si>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</si>
  <si>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</si>
  <si>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</si>
  <si>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</si>
  <si>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</si>
  <si>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</si>
  <si>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</si>
  <si>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</si>
  <si>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</si>
  <si>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 xml:space="preserve">        18.1. u tome: osobni automobili (neto)</t>
  </si>
  <si>
    <t>Sveta Nedelja</t>
  </si>
  <si>
    <t>Dežanovac</t>
  </si>
  <si>
    <t>Malinska-Dubašnica</t>
  </si>
  <si>
    <t>Sveta Nedjelja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</si>
  <si>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</si>
  <si>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</si>
  <si>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</si>
  <si>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</si>
  <si>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</si>
  <si>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</si>
  <si>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</si>
  <si>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</si>
  <si>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</si>
  <si>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</si>
  <si>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</si>
  <si>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</si>
  <si>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</si>
  <si>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</si>
  <si>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</si>
  <si>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</si>
  <si>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</si>
  <si>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</si>
  <si>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</si>
  <si>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</si>
  <si>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</si>
  <si>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</si>
  <si>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</si>
  <si>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</si>
  <si>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</si>
  <si>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</si>
  <si>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</si>
  <si>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</si>
  <si>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</si>
  <si>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</si>
  <si>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</si>
  <si>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</si>
  <si>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</si>
  <si>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</si>
  <si>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</si>
  <si>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</si>
  <si>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</si>
  <si>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Dubravica</t>
  </si>
  <si>
    <t>Našice</t>
  </si>
  <si>
    <t>Štrigova</t>
  </si>
  <si>
    <t>Dubrovačko Primorje</t>
  </si>
  <si>
    <t>Nedelišće</t>
  </si>
  <si>
    <t>30.</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</si>
  <si>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</si>
  <si>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</si>
  <si>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</si>
  <si>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</si>
  <si>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</si>
  <si>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</si>
  <si>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</si>
  <si>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</si>
  <si>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Trgovina na malo hranom, pićima i duhanskim proizvodima na štandovima i tržnicama</t>
  </si>
  <si>
    <t>4782</t>
  </si>
  <si>
    <t>Kontrolni broj</t>
  </si>
  <si>
    <t>Naziv obveznika:</t>
  </si>
  <si>
    <t>Šifra svrhe predaje:</t>
  </si>
  <si>
    <t>Oznaka veličine:</t>
  </si>
  <si>
    <t>Porijeklo kapitala:</t>
  </si>
  <si>
    <t>(domaći kapital, %)</t>
  </si>
  <si>
    <t>(strani kapital, %)</t>
  </si>
  <si>
    <t>Matični brojevi pripojenih subjekata:</t>
  </si>
  <si>
    <t>Svi iznosi upisuju se kao cjelobrojni (najčešće pozitivni) iznosi, pokušate li upisati decimalni iznos ili negativan iznos tamo gdje to nije dozvoljeno, pojavit će se poruka da je upis podatka koji ste pokušali upisati nemoguć i pod kojim uvjetima možete neki iznos ili podatak upisati u određeno polje. Koristite li se Copy/Paste (Kopiraj/Zalijepi) metodom za prijenos podataka iz neke druge Excel datoteke, obavezno koristite Paste Special (Posebno zalijepi) metodu, i pri tome izaberite da se kopiraju samo vrijednosti. Ni u kom slučaju ne prebacujte podatke tako da iz iz ćelije u ćeliju mičete mišem ili metodom Cut/Paste (Izreži/Zalijepi). Takva metoda narušava strukturu Excel datoteke i ona postaje neupotrebljiva za učitavanje. Isto tako, Copy/Paste metodama moguće je u obrazac ubaciti i negativne iznose tamo gdje to nije dozvoljeno ili nezaokružene vrijednosti. U tom slučaju će neka od kontrola javiti da neki podatak negdje nije ispravan. Kod popunjavanja AOP oznaka, podaci se upisuju samo u pojedinačne AOP oznake, dok se svi sumarni AOP-i izračunavaju automatski.</t>
  </si>
  <si>
    <t>Trgovina na malo sportskom opremom u specijaliziranim prodavaonicama</t>
  </si>
  <si>
    <t>4765</t>
  </si>
  <si>
    <t>Proizvodnja ostalih alatnih strojeva</t>
  </si>
  <si>
    <t>2891</t>
  </si>
  <si>
    <t>Proizvodnja strojeva za metalurgiju</t>
  </si>
  <si>
    <t>2892</t>
  </si>
  <si>
    <t xml:space="preserve">OSNOVNE UPUTE ZA UNOS PODATAKA
</t>
  </si>
  <si>
    <t>2. Podaci se unose prema nazivima pozicija iz knjigovodstvenih i drugih evidencija poduzetnika u skladu sa Zakonom o računovodstvu, Međunarodnim standardima financijskog izvještavanja i računovodstvenim politikama banke.</t>
  </si>
  <si>
    <r>
      <t>Porezi koji ne ovise o dobitku i pristojbe (AOP 182)</t>
    </r>
    <r>
      <rPr>
        <sz val="8"/>
        <color indexed="56"/>
        <rFont val="Arial"/>
        <family val="2"/>
      </rPr>
      <t xml:space="preserve"> – unose se porezi koji ne ovise o dobitku i pristojbe kao što su porez na tvrtku/naziv, imovinski porez na prijevozna sredstva, porez na javno istaknute reklame, porez na korištenje javnih površina, porez na kuće za odmor i nekorištenu imovinu, takse za registraciju vozila i plovila, na imovinu, administrativne, sudske, komunalne i ostale pristojbe i sl. </t>
    </r>
  </si>
  <si>
    <t>Trgovina na malo računalima, perifernim jedinicama i softverom u specijaliziranim prodavaonicama</t>
  </si>
  <si>
    <t>4742</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</si>
  <si>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</si>
  <si>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</si>
  <si>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</si>
  <si>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</si>
  <si>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</si>
  <si>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</si>
  <si>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</si>
  <si>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</si>
  <si>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Upravljanje nekretninama uz naplatu ili na osnovi ugovora</t>
  </si>
  <si>
    <t>6910</t>
  </si>
  <si>
    <t>Pravne djelatnosti</t>
  </si>
  <si>
    <t>6920</t>
  </si>
  <si>
    <t>Računovodstvene, knjigovodstvene i revizijske djelatnosti; porezno savjetovanje</t>
  </si>
  <si>
    <t>7010</t>
  </si>
  <si>
    <t>Upravljačke djelatnosti</t>
  </si>
  <si>
    <t>7021</t>
  </si>
  <si>
    <t>Ova Excel datoteka testirana je i u Open Office 3.0 paketu, i pokazalo se da je i prilikom popunjavanja u ovom alatu Excel datoteka sve kontrole i izračune odradila jedanko kvalitetno kao i u MS Excel-u. Kompatibilnost s ranijim verzijama Open Office-a nije provjeravana, a nije ni s nekim drugim programima koji podržavaju rad s Excel datotekama. Ako izvještaj popunjavate u nekom drugom alatu (a ne Excel-u), primijetite li da neke kontrole ne rade kako treba, da neke stalno javljaju pogrešku ili da obrazac pokazuje neku drugu anomaliju, pokušajte gotov obrazac snimiti na medij te ga otvoriti na nekom drugom računalu koje ima instaliran Excel, pa ako će tamo kontrole uredno raditi, snimite završnu verziju izvještaja (spremnu za predaju) na tom računalu i predajte tu Excel datoteku.</t>
  </si>
  <si>
    <t>Trgovina na veliko ostalom hranom uključujući ribe, rakove i školjke</t>
  </si>
  <si>
    <t>4639</t>
  </si>
  <si>
    <t>Nespecijalizirana trgovina na veliko hranom, pićima i duhanskim proizvodima</t>
  </si>
  <si>
    <t>4641</t>
  </si>
  <si>
    <t>Trgovina na veliko tekstilom</t>
  </si>
  <si>
    <t>4642</t>
  </si>
  <si>
    <t>Trgovina na veliko odjećom i obućom</t>
  </si>
  <si>
    <t>4643</t>
  </si>
  <si>
    <t>Trgovina na veliko električnim aparatima za kućanstvo</t>
  </si>
  <si>
    <t>4644</t>
  </si>
  <si>
    <t>Trgovina na veliko porculanom, staklom i sredstvima za čišćenje</t>
  </si>
  <si>
    <t>4645</t>
  </si>
  <si>
    <t>Trgovina na veliko parfemima i kozmetikom</t>
  </si>
  <si>
    <t>4646</t>
  </si>
  <si>
    <t>Trgovina na veliko farmaceutskim proizvodima</t>
  </si>
  <si>
    <t>Poštanski broj i mjesto:</t>
  </si>
  <si>
    <t>Usluge pripreme za tisak i objavljivanje</t>
  </si>
  <si>
    <t>1814</t>
  </si>
  <si>
    <t>za</t>
  </si>
  <si>
    <t>Naziv poslovnog subjekta</t>
  </si>
  <si>
    <t>Matični broj DZS-a</t>
  </si>
  <si>
    <t>Lista matičnih brojeva - subjekata konsolidacije</t>
  </si>
  <si>
    <t>Rbr.</t>
  </si>
  <si>
    <t>1.</t>
  </si>
  <si>
    <t>2.</t>
  </si>
  <si>
    <t>3.</t>
  </si>
  <si>
    <t>4.</t>
  </si>
  <si>
    <t>5.</t>
  </si>
  <si>
    <t>6.</t>
  </si>
  <si>
    <t>7.</t>
  </si>
  <si>
    <t>8.</t>
  </si>
  <si>
    <t>9.</t>
  </si>
  <si>
    <t>10.</t>
  </si>
  <si>
    <t>11.</t>
  </si>
  <si>
    <t>12.</t>
  </si>
  <si>
    <t>13.</t>
  </si>
  <si>
    <t>14.</t>
  </si>
  <si>
    <t>Trgovina na malo novinama, papirnatom robom i pisaćim priborom u specijaliziranim prodavaonicama</t>
  </si>
  <si>
    <t>4763</t>
  </si>
  <si>
    <t>Trgovina na malo glazbenim i videozapisima u specijaliziranim prodavaonicama</t>
  </si>
  <si>
    <t>4764</t>
  </si>
  <si>
    <t>Banke koje sastavljaju konsolidirane godišnje financijske izvještaje zasebno prikazuju promjene manjinskog udjela po odgovarajućim stavkama kapitala.</t>
  </si>
  <si>
    <t>Veliki (prema zakonu)</t>
  </si>
  <si>
    <t>Oznaka vlasništva se ne upisuje</t>
  </si>
  <si>
    <t>Redni broj i rezultat kontrole</t>
  </si>
  <si>
    <t xml:space="preserve">       d) Kamatni troškovi na hibridne i podređene instrumente državnih jedinica</t>
  </si>
  <si>
    <t xml:space="preserve">       e) Kamatni troškovi na hibridne i podređene instrumente stranih osoba </t>
  </si>
  <si>
    <t xml:space="preserve">       f)  Kamatni troškovi na hibridne i podređene instrumente stanovništva</t>
  </si>
  <si>
    <t xml:space="preserve">  34. Troškovi provizija i naknada (164 do 166)</t>
  </si>
  <si>
    <t xml:space="preserve">       a) Troškovi naknada/provizija za bankovne usluge rezidenata   </t>
  </si>
  <si>
    <t xml:space="preserve">       b) Troškovi naknada/provizija za bankovne usluge nerezidenata </t>
  </si>
  <si>
    <t xml:space="preserve">       c) Neto tečajne razlike po obvezama na osnovi naknada*</t>
  </si>
  <si>
    <t>Proizvodnja ostalih obojenih metala</t>
  </si>
  <si>
    <t>2446</t>
  </si>
  <si>
    <t>Obrada nuklearnoga goriva</t>
  </si>
  <si>
    <t>2451</t>
  </si>
  <si>
    <t>Lijevanje željeza</t>
  </si>
  <si>
    <t>2452</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</si>
  <si>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</si>
  <si>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</si>
  <si>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</si>
  <si>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</si>
  <si>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</si>
  <si>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</si>
  <si>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IZNOS12</t>
  </si>
  <si>
    <t>IZNOS13</t>
  </si>
  <si>
    <t>IZNOS14</t>
  </si>
  <si>
    <t>IZNOS15</t>
  </si>
  <si>
    <t>KONS_MB</t>
  </si>
  <si>
    <t>KONS_NAZ</t>
  </si>
  <si>
    <t>KONS_MJ</t>
  </si>
  <si>
    <t>KONS_POST</t>
  </si>
  <si>
    <t>Prezime i ime:</t>
  </si>
  <si>
    <t>OVL_OSOBA</t>
  </si>
  <si>
    <t>KONTAKT_EMAIL</t>
  </si>
  <si>
    <t>IMABILJ</t>
  </si>
  <si>
    <t>IMAREVIZ</t>
  </si>
  <si>
    <t>IMAGODIZV</t>
  </si>
  <si>
    <t>IMAODLRASP</t>
  </si>
  <si>
    <t>IMAODLUTVR</t>
  </si>
  <si>
    <t>Prethodna godina</t>
  </si>
  <si>
    <t>Tekuća godina</t>
  </si>
  <si>
    <t>Ostale zabavne i rekreacijske djelatnosti</t>
  </si>
  <si>
    <t>9411</t>
  </si>
  <si>
    <t>(u tekućoj godini)</t>
  </si>
  <si>
    <t>Peteranec</t>
  </si>
  <si>
    <t>Višnjan</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</si>
  <si>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</si>
  <si>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</si>
  <si>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</si>
  <si>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</si>
  <si>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</si>
  <si>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</si>
  <si>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</si>
  <si>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</si>
  <si>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</si>
  <si>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</si>
  <si>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</si>
  <si>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</si>
  <si>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</si>
  <si>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</si>
  <si>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</si>
  <si>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</si>
  <si>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</si>
  <si>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</si>
  <si>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</si>
  <si>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</si>
  <si>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</si>
  <si>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</si>
  <si>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</si>
  <si>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</si>
  <si>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</si>
  <si>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</si>
  <si>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RDG</t>
  </si>
  <si>
    <t>PK</t>
  </si>
  <si>
    <t>Djel</t>
  </si>
  <si>
    <t>Uputa</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</si>
  <si>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</si>
  <si>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</si>
  <si>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</si>
  <si>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</si>
  <si>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</si>
  <si>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</si>
  <si>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</si>
  <si>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</si>
  <si>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IZVJEŠTAJ O PROMJENAMA KAPITALA</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</si>
  <si>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</si>
  <si>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</si>
  <si>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</si>
  <si>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</si>
  <si>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</si>
  <si>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</si>
  <si>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</si>
  <si>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</si>
  <si>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</si>
  <si>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</si>
  <si>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</si>
  <si>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</si>
  <si>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strojeva za industriju hrane, pića i duhana</t>
  </si>
  <si>
    <t>2894</t>
  </si>
  <si>
    <t>Izdavanje računalnih igara</t>
  </si>
  <si>
    <t>5829</t>
  </si>
  <si>
    <t>Izdavanje ostalog softvera</t>
  </si>
  <si>
    <t>5911</t>
  </si>
  <si>
    <t>0</t>
  </si>
  <si>
    <r>
      <t xml:space="preserve">Kontrola popunjenosti podataka zaglavlja. Polja Vrsta izvještaja, Matični broj (DZS-a), Matični broj trgovačkog suda, </t>
    </r>
    <r>
      <rPr>
        <b/>
        <sz val="8"/>
        <color indexed="56"/>
        <rFont val="Arial"/>
        <family val="2"/>
      </rPr>
      <t>OIB</t>
    </r>
    <r>
      <rPr>
        <sz val="8"/>
        <color indexed="56"/>
        <rFont val="Arial"/>
        <family val="2"/>
      </rPr>
      <t>, Naziv obveznika, Poštanski broj i Mjesto, Ulica i kućni broj, Šifra općine/grada, Šifra NKD-a, Oznaka konsolidacije, Oznaka obveze revizije, Šifra svrhe predaje, Porijeklo kapitala, Brojevi zaposlenih, broj mjeseci poslovanja, Osoba za kontaktiranje, te Prezime i ime osobe ovlaštene za zastupanje, datumi Razdoblja računa dobiti i gubitka te poslovna godina moraju biti popunjeni. Ako neko od ovih polja nije popunjeno, kontrola javlja pogrešku. Ako je neki podatak 0 ili oznaka "NE", treba je upisati.</t>
    </r>
  </si>
  <si>
    <t>OIB postaje obvezan podatak.</t>
  </si>
  <si>
    <t>1.0.4.</t>
  </si>
  <si>
    <t>Zakonske, statutarne i ostale rezerve</t>
  </si>
  <si>
    <t>Raspoloživo dioničarima matičnog društva</t>
  </si>
  <si>
    <t>Zadržana dobit / gubitak</t>
  </si>
  <si>
    <t>Manjinski udjel</t>
  </si>
  <si>
    <t>Ukupno kapital i rezerve</t>
  </si>
  <si>
    <r>
      <t>Obrazac</t>
    </r>
    <r>
      <rPr>
        <b/>
        <sz val="10"/>
        <color indexed="18"/>
        <rFont val="Arial"/>
        <family val="2"/>
      </rPr>
      <t xml:space="preserve">
</t>
    </r>
    <r>
      <rPr>
        <b/>
        <sz val="12"/>
        <color indexed="18"/>
        <rFont val="Arial Black"/>
        <family val="2"/>
      </rPr>
      <t>BAN-PK</t>
    </r>
  </si>
  <si>
    <t xml:space="preserve">Nerealizirani dobitak / gubitak s osnove vrijed-nosnog usklađivanja financijske imovine raspoložive za prodaju </t>
  </si>
  <si>
    <t>581</t>
  </si>
  <si>
    <t>Konsolidirani izvještaji ne mogu se predavati u statističke svrhe. Samo nekonsolidirani izvještaji idu u statističke svrhe, ako je označeno da je izvještaj konsoldiran, šifra svrhe predaje može biti samo 2). Isto tako, konsolidirani izvještaji mogu imati samo vrste izvještaja 10, 11, 20, 30.</t>
  </si>
  <si>
    <t>Končanica</t>
  </si>
  <si>
    <t>Ravna Gora</t>
  </si>
  <si>
    <t>Belica</t>
  </si>
  <si>
    <t>Proizvodnja imitacije nakita (bižuterije) i srodnih proizvoda</t>
  </si>
  <si>
    <t>3220</t>
  </si>
  <si>
    <t>Proizvodnja glazbenih instrumenata</t>
  </si>
  <si>
    <t>3230</t>
  </si>
  <si>
    <t>Proizvodnja sportske opreme</t>
  </si>
  <si>
    <t>3240</t>
  </si>
  <si>
    <t>Proizvodnja igara i igračaka</t>
  </si>
  <si>
    <t>3250</t>
  </si>
  <si>
    <t>Proizvodnja medicinskih i stomatoloških instrumenata i pribora</t>
  </si>
  <si>
    <t>3291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</si>
  <si>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</si>
  <si>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</si>
  <si>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</si>
  <si>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</si>
  <si>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</si>
  <si>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</si>
  <si>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</si>
  <si>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</si>
  <si>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Tehničko ispitivanje i analiza</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</si>
  <si>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</si>
  <si>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</si>
  <si>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</si>
  <si>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</si>
  <si>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</si>
  <si>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</si>
  <si>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</si>
  <si>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 xml:space="preserve">Vrijednosti svih investicija iskazuju se u nabavnim (kupovnim) cijenama, tj. s uključenim prijevoznim i instalacijskim troškovima, troškovima prijenosa vlasništva i neodbitnim davanjima, bez odbitnog PDV-a. Dobra proizvedena u vlastitoj režiji vrednuju se po troškovima proizvodnje. </t>
  </si>
  <si>
    <r>
      <t xml:space="preserve">Primici u naravi (AOP 174) </t>
    </r>
    <r>
      <rPr>
        <sz val="8"/>
        <color indexed="56"/>
        <rFont val="Arial"/>
        <family val="2"/>
      </rPr>
      <t>−</t>
    </r>
    <r>
      <rPr>
        <b/>
        <sz val="8"/>
        <color indexed="56"/>
        <rFont val="Arial"/>
        <family val="2"/>
      </rPr>
      <t xml:space="preserve"> </t>
    </r>
    <r>
      <rPr>
        <sz val="8"/>
        <color indexed="56"/>
        <rFont val="Arial"/>
        <family val="2"/>
      </rPr>
      <t>unosi se dio troškova za zaposlenike koji se odnosi na bruto primitke zaposlenika u naravi.</t>
    </r>
  </si>
  <si>
    <r>
      <t xml:space="preserve">Otpremnine (AOP 175) </t>
    </r>
    <r>
      <rPr>
        <sz val="8"/>
        <color indexed="56"/>
        <rFont val="Arial"/>
        <family val="2"/>
      </rPr>
      <t>−</t>
    </r>
    <r>
      <rPr>
        <b/>
        <sz val="8"/>
        <color indexed="56"/>
        <rFont val="Arial"/>
        <family val="2"/>
      </rPr>
      <t xml:space="preserve"> </t>
    </r>
    <r>
      <rPr>
        <sz val="8"/>
        <color indexed="56"/>
        <rFont val="Arial"/>
        <family val="2"/>
      </rPr>
      <t>unose se otpremnine zbog odlaska zaposlenika u mirovinu, danih otkaza i tehnološkog viška, ozljede ili profesionalne bolesti.</t>
    </r>
  </si>
  <si>
    <r>
      <t>Naknade članovima uprave (AOP 176)</t>
    </r>
    <r>
      <rPr>
        <sz val="8"/>
        <color indexed="56"/>
        <rFont val="Arial"/>
        <family val="2"/>
      </rPr>
      <t xml:space="preserve"> − unose se obračunati troškovi ( u bruto iznosu) za nadoknade članovima nadzornog odbora, nadoknade vanjskim članovima uprave, stečajnim upraviteljima i sl.</t>
    </r>
  </si>
  <si>
    <r>
      <t xml:space="preserve">Izdaci za bruto autorske honorare i ugovore o djelu samo za fizičke osobe koje nemaju registriranu djelatnost (AOP 179) </t>
    </r>
    <r>
      <rPr>
        <sz val="8"/>
        <color indexed="56"/>
        <rFont val="Arial"/>
        <family val="2"/>
      </rPr>
      <t>−</t>
    </r>
    <r>
      <rPr>
        <b/>
        <sz val="8"/>
        <color indexed="56"/>
        <rFont val="Arial"/>
        <family val="2"/>
      </rPr>
      <t xml:space="preserve"> </t>
    </r>
    <r>
      <rPr>
        <sz val="8"/>
        <color indexed="56"/>
        <rFont val="Arial"/>
        <family val="2"/>
      </rPr>
      <t>unosi se dio troškova za intelektualne i osobne usluge koji se odnosi na troškove autorskih honorara i ugovora o djelu i to u bruto iznosu.</t>
    </r>
  </si>
  <si>
    <r>
      <t xml:space="preserve">Izdaci za rad ostvaren preko studentskog/učeničkog servisa (AOP 180) </t>
    </r>
    <r>
      <rPr>
        <sz val="8"/>
        <color indexed="56"/>
        <rFont val="Arial"/>
        <family val="2"/>
      </rPr>
      <t>−</t>
    </r>
    <r>
      <rPr>
        <b/>
        <sz val="8"/>
        <color indexed="56"/>
        <rFont val="Arial"/>
        <family val="2"/>
      </rPr>
      <t xml:space="preserve"> </t>
    </r>
    <r>
      <rPr>
        <sz val="8"/>
        <color indexed="56"/>
        <rFont val="Arial"/>
        <family val="2"/>
      </rPr>
      <t>unose se obračunati troškovi usluga studentskih i učeničkih servisa (u bruto iznosu).</t>
    </r>
  </si>
  <si>
    <r>
      <t xml:space="preserve">Stipendije (AOP 181) </t>
    </r>
    <r>
      <rPr>
        <sz val="8"/>
        <color indexed="56"/>
        <rFont val="Arial"/>
        <family val="2"/>
      </rPr>
      <t>− unosi se bruto iznos troškova stipendija i nagrada učenicima i studentima do i iznad neoporezivih svota.</t>
    </r>
  </si>
  <si>
    <t>Ostale rezervacijske usluge i djelatnosti povezane s njima</t>
  </si>
  <si>
    <t>8010</t>
  </si>
  <si>
    <t>Djelatnosti privatne zaštite</t>
  </si>
  <si>
    <t>8020</t>
  </si>
  <si>
    <t>2740</t>
  </si>
  <si>
    <t>Proizvodnja pesticida i drugih agrokemijskih proizvoda</t>
  </si>
  <si>
    <t>2030</t>
  </si>
  <si>
    <t>Proizvodnja boja, lakova i sličnih premaza, grafičkih boja i kitova</t>
  </si>
  <si>
    <t>2041</t>
  </si>
  <si>
    <t>Proizvodnja sapuna i deterdženata, sredstava za čišćenje i poliranje</t>
  </si>
  <si>
    <t>2042</t>
  </si>
  <si>
    <t>Opci</t>
  </si>
  <si>
    <t>NT_I</t>
  </si>
  <si>
    <t>NT_D</t>
  </si>
  <si>
    <t>ListaMB</t>
  </si>
  <si>
    <t xml:space="preserve">Na ovom radnom listu dat će se popis svih, i najmanjih promjena Excel datoteke iz verzije u verziju (bilo da su nastale zbog promjene zakonskih propisa, ispravka pogrešaka u Excel datoteci, dodatnim kontrolama ili poboljšanjima obrasca. </t>
  </si>
  <si>
    <t>Opcine</t>
  </si>
  <si>
    <t>Prom</t>
  </si>
  <si>
    <t>1.0.0.</t>
  </si>
  <si>
    <t>Prva verzija obrasca</t>
  </si>
  <si>
    <r>
      <t xml:space="preserve">AOP
</t>
    </r>
    <r>
      <rPr>
        <b/>
        <sz val="8"/>
        <color indexed="9"/>
        <rFont val="Arial"/>
        <family val="2"/>
      </rPr>
      <t>oznaka</t>
    </r>
  </si>
  <si>
    <r>
      <t xml:space="preserve">Rbr. 
</t>
    </r>
    <r>
      <rPr>
        <b/>
        <sz val="8"/>
        <color indexed="9"/>
        <rFont val="Arial"/>
        <family val="2"/>
      </rPr>
      <t>bilješke</t>
    </r>
  </si>
  <si>
    <r>
      <t xml:space="preserve">AOP
</t>
    </r>
    <r>
      <rPr>
        <b/>
        <sz val="7"/>
        <color indexed="9"/>
        <rFont val="Arial"/>
        <family val="2"/>
      </rPr>
      <t>oznaka</t>
    </r>
  </si>
  <si>
    <t>Prijevoz robe unutrašnjim vodenim putovima</t>
  </si>
  <si>
    <t>5110</t>
  </si>
  <si>
    <t>Zračni prijevoz putnika</t>
  </si>
  <si>
    <t>5121</t>
  </si>
  <si>
    <t>Zračni prijevoz robe</t>
  </si>
  <si>
    <t>5122</t>
  </si>
  <si>
    <t>Svemirski prijevoz</t>
  </si>
  <si>
    <t>5210</t>
  </si>
  <si>
    <t>Skladištenje robe</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</si>
  <si>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</si>
  <si>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</si>
  <si>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</si>
  <si>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</si>
  <si>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</si>
  <si>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</si>
  <si>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</si>
  <si>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</si>
  <si>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</si>
  <si>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</si>
  <si>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</si>
  <si>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</si>
  <si>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</si>
  <si>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</si>
  <si>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5510</t>
  </si>
  <si>
    <t>Hoteli i sličan smještaj</t>
  </si>
  <si>
    <t>5520</t>
  </si>
  <si>
    <t>Odmarališta i slični objekti za kraći odmor</t>
  </si>
  <si>
    <t>5530</t>
  </si>
  <si>
    <t>Kampovi i prostori za kampiranje</t>
  </si>
  <si>
    <t>5590</t>
  </si>
  <si>
    <t>Ostali smještaj</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</si>
  <si>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</si>
  <si>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</si>
  <si>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</si>
  <si>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</si>
  <si>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</si>
  <si>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</si>
  <si>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</si>
  <si>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</si>
  <si>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</si>
  <si>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Izdavanje knjiga</t>
  </si>
  <si>
    <t>5812</t>
  </si>
  <si>
    <t>Izdavanje imenika i popisa korisničkih adresa</t>
  </si>
  <si>
    <t>5813</t>
  </si>
  <si>
    <t>Izdavanje novina</t>
  </si>
  <si>
    <t>5814</t>
  </si>
  <si>
    <t>Izdavanje časopisa i periodičnih publikacija</t>
  </si>
  <si>
    <t>5819</t>
  </si>
  <si>
    <t>Ostala izdavačka djelatnost</t>
  </si>
  <si>
    <t>5821</t>
  </si>
  <si>
    <t>Dodatni podaci</t>
  </si>
  <si>
    <t>DODATNI PODACI</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</si>
  <si>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</si>
  <si>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</si>
  <si>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</si>
  <si>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</si>
  <si>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</si>
  <si>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</si>
  <si>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</si>
  <si>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</si>
  <si>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</si>
  <si>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</si>
  <si>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</si>
  <si>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</si>
  <si>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</si>
  <si>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</si>
  <si>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</si>
  <si>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</si>
  <si>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Cijena usluge javne objave ovisi o načinu predaje standardne dokumentacije i o tome je li poduzetnik obveznik revizije. Odaberite način predaje u nastavku te nakon što popunite opće podatke u obrascu, u nastavku će Vam se popuniti HUB-1 obrazac na način na koji bi trebalo popuniti uplatnicu prilikom plaćanja.</t>
  </si>
  <si>
    <r>
      <t xml:space="preserve">Naknada za uslugu javne objave uplaćuje se s pozivom na broj:  </t>
    </r>
    <r>
      <rPr>
        <b/>
        <sz val="10"/>
        <color indexed="56"/>
        <rFont val="Arial"/>
        <family val="2"/>
      </rPr>
      <t>05 7543000-OIB poduzetnika</t>
    </r>
  </si>
  <si>
    <t>OIB rev.:</t>
  </si>
  <si>
    <t>REV_OIB</t>
  </si>
  <si>
    <t>IMA_NSTD</t>
  </si>
  <si>
    <r>
      <t xml:space="preserve">Izvješće revizora </t>
    </r>
    <r>
      <rPr>
        <sz val="8"/>
        <color indexed="56"/>
        <rFont val="Arial"/>
        <family val="2"/>
      </rPr>
      <t xml:space="preserve">dostavlja se samo ako se izvještaj predaje u svrhu javnu objavu. Izvješće revizora se ne predaje ako je svrha predaje samo u statističke potrebe. 
Ako je izvještaj za javnu objavu, tj. ako je u prilogu i izvješće revizora, </t>
    </r>
    <r>
      <rPr>
        <b/>
        <sz val="8"/>
        <color indexed="56"/>
        <rFont val="Arial"/>
        <family val="2"/>
      </rPr>
      <t>OIB samostalnog revizora ili revizorskog društva</t>
    </r>
    <r>
      <rPr>
        <sz val="8"/>
        <color indexed="56"/>
        <rFont val="Arial"/>
        <family val="2"/>
      </rPr>
      <t xml:space="preserve"> koje je revidiralo izvještaj mora biti upisan, a ako je samo za statističke potrebe OIB se </t>
    </r>
    <r>
      <rPr>
        <b/>
        <sz val="8"/>
        <color indexed="56"/>
        <rFont val="Arial"/>
        <family val="2"/>
      </rPr>
      <t>ne upisuje.</t>
    </r>
    <r>
      <rPr>
        <sz val="8"/>
        <color indexed="56"/>
        <rFont val="Arial"/>
        <family val="2"/>
      </rPr>
      <t xml:space="preserve"> Dio kontrole koji se odnosi na OIB jjavit će pogrešku ako je OIB upisan kada je izvještaj samo za potrebe statistike ili nije upisan kod javne objave kada se dostavlja i revizorsko izvješće.</t>
    </r>
  </si>
  <si>
    <t>Rev_OIB</t>
  </si>
  <si>
    <r>
      <t xml:space="preserve">7. </t>
    </r>
    <r>
      <rPr>
        <b/>
        <sz val="8"/>
        <color indexed="56"/>
        <rFont val="Arial"/>
        <family val="2"/>
      </rPr>
      <t>Šifra svrhe predaje</t>
    </r>
    <r>
      <rPr>
        <sz val="8"/>
        <color indexed="56"/>
        <rFont val="Arial"/>
        <family val="2"/>
      </rPr>
      <t xml:space="preserve"> unosi se na slijedeći način:
    1 - upisuje se u slučaju kada obveznik godišnji financijski izvještaj predaje isključivo za statističke i druge potrebe, taj 
          izvještaj se ne može koristiti za potrebe javne objave jer on nije konačan te su moguće njegove izmjene.
    2 - upisuje se u slučaju kada obveznik predaje godišnji financijski izvještaj samo za potrebe javne objave.
    3 - upisuje se u slučaju kada obveznik koristi mogućnost istovremene dostave godišnjega financijskog izvještaja za
         statističke i druge potrebe te potrebe javne objave.</t>
    </r>
  </si>
  <si>
    <t>Uzgoj ostalih životinja</t>
  </si>
  <si>
    <t>0150</t>
  </si>
  <si>
    <t>Mješovita proizvodnja</t>
  </si>
  <si>
    <t>0161</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</si>
  <si>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</si>
  <si>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</si>
  <si>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</si>
  <si>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Trgovina na veliko strojevima za rudnike i građevinarstvo</t>
  </si>
  <si>
    <t>4664</t>
  </si>
  <si>
    <t>Trgovina na veliko strojevima za tekstilnu industriju te strojevima za šivanje i pletenje</t>
  </si>
  <si>
    <t>4665</t>
  </si>
  <si>
    <t>Trgovina na veliko uredskim namještajem</t>
  </si>
  <si>
    <t>4666</t>
  </si>
  <si>
    <t>Trgovina na veliko ostalim uredskim strojevima i opremom</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</si>
  <si>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</si>
  <si>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</si>
  <si>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</si>
  <si>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</si>
  <si>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</si>
  <si>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</si>
  <si>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</si>
  <si>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</si>
  <si>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</si>
  <si>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t>Trgovina na veliko željeznom robom, instalacijskim materijalom i opremom za vodovod i grijanje</t>
  </si>
  <si>
    <t>4675</t>
  </si>
  <si>
    <t>Trgovina na veliko kemijskim proizvodima</t>
  </si>
  <si>
    <t>4676</t>
  </si>
  <si>
    <t>Trgovina na veliko ostalim poluproizvodima</t>
  </si>
  <si>
    <t>4677</t>
  </si>
  <si>
    <t>Trgovina na veliko ostacima i otpacima</t>
  </si>
  <si>
    <t>4690</t>
  </si>
  <si>
    <t>Iznajmljivanje i davanje u zakup (leasing) poljoprivrednih strojeva i opreme</t>
  </si>
  <si>
    <t>7732</t>
  </si>
  <si>
    <t>Iznajmljivanje i davanje u zakup (leasing) strojeva i opreme za građevinarstvo i inženjerstvo</t>
  </si>
  <si>
    <t>7733</t>
  </si>
  <si>
    <t xml:space="preserve">Knjigoveške i srodne usluge </t>
  </si>
  <si>
    <t>1820</t>
  </si>
  <si>
    <t>Umnožavanje snimljenih zapisa</t>
  </si>
  <si>
    <t>1910</t>
  </si>
  <si>
    <t>Proizvodnja proizvoda koksnih peći</t>
  </si>
  <si>
    <t>1920</t>
  </si>
  <si>
    <t>Proizvodnja rafiniranih naftnih proizvoda</t>
  </si>
  <si>
    <t>2011</t>
  </si>
  <si>
    <t>Proizvodnja industrijskih plinova</t>
  </si>
  <si>
    <t>2012</t>
  </si>
  <si>
    <t>Proizvodnja koloranata i pigmenata</t>
  </si>
  <si>
    <t>2013</t>
  </si>
  <si>
    <t xml:space="preserve">Uzgoj bilja za uporabu u farmaciji, aromatskog, začinskog i ljekovitog bilja </t>
  </si>
  <si>
    <t>0129</t>
  </si>
  <si>
    <t xml:space="preserve">Uzgoj ostalih višegodišnjih usjeva </t>
  </si>
  <si>
    <t>0130</t>
  </si>
  <si>
    <t>Uzgoj sadnog materijala i ukrasnog bilja</t>
  </si>
  <si>
    <t>0141</t>
  </si>
  <si>
    <t>Uzgoj muznih krava</t>
  </si>
  <si>
    <t>0142</t>
  </si>
  <si>
    <t>Uzgoj ostalih goveda i bivola</t>
  </si>
  <si>
    <t>0143</t>
  </si>
  <si>
    <t>Uzgoj konja, magaraca, mula i mazgi</t>
  </si>
  <si>
    <t>0144</t>
  </si>
  <si>
    <t>Uzgoj deva i ljama</t>
  </si>
  <si>
    <t>0145</t>
  </si>
  <si>
    <t>Uzgoj ovaca i koza</t>
  </si>
  <si>
    <t>0146</t>
  </si>
  <si>
    <t>Uzgoj svinja</t>
  </si>
  <si>
    <t>0147</t>
  </si>
  <si>
    <t>Uzgoj peradi</t>
  </si>
  <si>
    <t>0149</t>
  </si>
  <si>
    <t>GODIŠNJI FINANCIJSKI IZVJEŠTAJ
BANAKA, ŠTEDNIH BANAKA I STAMBENIH ŠTEDIONICA</t>
  </si>
  <si>
    <t>14. KAMATE, NAKNADE I OSTALA IMOVINA</t>
  </si>
  <si>
    <t>OBVEZE</t>
  </si>
  <si>
    <t xml:space="preserve">  4. VRIJEDNOSNI PAPIRI I DRUGI FINANCIJSKI INSTRUMENTI KOJI SE DRŽE
       RADI TRGOVANJA </t>
  </si>
  <si>
    <t xml:space="preserve">  5. VRIJEDNOSNI PAPIRI I DRUGI FINANCIJSKI INSTRUMENTI RASPOLOŽIVI
       ZA PRODAJU </t>
  </si>
  <si>
    <t xml:space="preserve">      1.1. Kratkoročni krediti</t>
  </si>
  <si>
    <t xml:space="preserve">      1.2. Dugoročni krediti</t>
  </si>
  <si>
    <t xml:space="preserve">  2. DEPOZITI (AOP 022 do 024)</t>
  </si>
  <si>
    <t xml:space="preserve">      2.1. Depoziti na žiroračunima i tekućim računima</t>
  </si>
  <si>
    <t xml:space="preserve">      2.2. Štedni depoziti</t>
  </si>
  <si>
    <t xml:space="preserve">      2.3. Oročeni depoziti</t>
  </si>
  <si>
    <t xml:space="preserve">      3.1. Kratkoročni krediti</t>
  </si>
  <si>
    <t xml:space="preserve">      3.2. Dugoročni krediti</t>
  </si>
  <si>
    <t xml:space="preserve">      5.1. Kratkoročni izdani dužnički vrijednosni papiri</t>
  </si>
  <si>
    <t xml:space="preserve">      5.2. Dugoročni izdani dužnički vrijednosni papiri</t>
  </si>
  <si>
    <t xml:space="preserve">  6. IZDANI PODREĐENI INSTRUMENTI</t>
  </si>
  <si>
    <t xml:space="preserve">  7. IZDANI HIBRIDNI INSTRUMENTI</t>
  </si>
  <si>
    <t xml:space="preserve">  8. KAMATE, NAKNADE I OSTALE OBVEZE</t>
  </si>
  <si>
    <t>KAPITAL</t>
  </si>
  <si>
    <t xml:space="preserve">  4. DERIVATNE FINANCIJSKE OBVEZE I OSTALE FINANCIJSKE OBVEZE
       KOJIMA SE TRGUJE</t>
  </si>
  <si>
    <t xml:space="preserve">  1. DIONIČKI KAPITAL</t>
  </si>
  <si>
    <t xml:space="preserve">  2. DOBIT (GUBITAK) TEKUĆE GODINE</t>
  </si>
  <si>
    <t xml:space="preserve">  3. ZADRŽANA DOBIT (GUBITAK)</t>
  </si>
  <si>
    <t xml:space="preserve">  4. ZAKONSKE REZERVE</t>
  </si>
  <si>
    <t xml:space="preserve">  5. STATUTARNE I OSTALE KAPITALNE REZERVE</t>
  </si>
  <si>
    <t xml:space="preserve">  6. NEREALIZIRANI DOBITAK (GUBITAK) S OSNOVE VRIJEDNOSNOG 
      USKLAĐIVANJA FINANCIJSKE IMOVINE RASPOLOŽIVE ZA PRODAJU</t>
  </si>
  <si>
    <t xml:space="preserve">  7. REZERVE PROIZAŠLE IZ TRANSAKCIJA ZAŠTITE</t>
  </si>
  <si>
    <t>D) UKUPNO OBVEZE I KAPITAL (035+043)</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</si>
  <si>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</si>
  <si>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</si>
  <si>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</si>
  <si>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</si>
  <si>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</si>
  <si>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</si>
  <si>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</si>
  <si>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</si>
  <si>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</si>
  <si>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</si>
  <si>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</si>
  <si>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</si>
  <si>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</si>
  <si>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</si>
  <si>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 xml:space="preserve">  35. Opći administrativni troškovi i amortizacija (168+172+173)</t>
  </si>
  <si>
    <t xml:space="preserve">  35.1. Troškovi za zaposlenike (169 do 171)</t>
  </si>
  <si>
    <t xml:space="preserve">       a) nadnice i plaće (neto)</t>
  </si>
  <si>
    <t xml:space="preserve">       b) troškovi poreza, prireza i doprinosa iz plaća i na plaće </t>
  </si>
  <si>
    <t xml:space="preserve">       c) ostali troškovi za zaposlenike</t>
  </si>
  <si>
    <t xml:space="preserve">  35.2. Ostali administrativni troškovi</t>
  </si>
  <si>
    <t xml:space="preserve">  35.3. Amortizacija</t>
  </si>
  <si>
    <t>IZNOS06</t>
  </si>
  <si>
    <t>IZNOS07</t>
  </si>
  <si>
    <t>IZNOS08</t>
  </si>
  <si>
    <t>IZNOS09</t>
  </si>
  <si>
    <t>IZNOS10</t>
  </si>
  <si>
    <t>Matični brojevi sudionika statusnih promjena spajanja:</t>
  </si>
  <si>
    <t>Knjigovodstveni servis:</t>
  </si>
  <si>
    <t>OIB</t>
  </si>
  <si>
    <t>E_MAIL</t>
  </si>
  <si>
    <t>WEB</t>
  </si>
  <si>
    <t>KONS</t>
  </si>
  <si>
    <t>Obveza revizije:</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</si>
  <si>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</si>
  <si>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</si>
  <si>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</si>
  <si>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</si>
  <si>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</si>
  <si>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</si>
  <si>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</si>
  <si>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</si>
  <si>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</si>
  <si>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</si>
  <si>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</si>
  <si>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</si>
  <si>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</si>
  <si>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</si>
  <si>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</si>
  <si>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</si>
  <si>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</si>
  <si>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</si>
  <si>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</si>
  <si>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</si>
  <si>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</si>
  <si>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</si>
  <si>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</si>
  <si>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</si>
  <si>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</si>
  <si>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Izvještaj o novčanom tijeku</t>
  </si>
  <si>
    <t>Internetski portali</t>
  </si>
  <si>
    <t>6391</t>
  </si>
  <si>
    <t>Djelatnosti novinskih agencija</t>
  </si>
  <si>
    <t>6399</t>
  </si>
  <si>
    <t>Ostale informacijske uslužne djelatnosti, d. n.</t>
  </si>
  <si>
    <t>6411</t>
  </si>
  <si>
    <t>Središnje bankarstvo</t>
  </si>
  <si>
    <t>6419</t>
  </si>
  <si>
    <t>Ostalo novčarsko posredovanje</t>
  </si>
  <si>
    <t>6420</t>
  </si>
  <si>
    <t>Djelatnosti holding-društava</t>
  </si>
  <si>
    <t>6430</t>
  </si>
  <si>
    <t>Uzajamni fondovi (trustovi), ostali fondovi i slični financijski subjekti</t>
  </si>
  <si>
    <t>6491</t>
  </si>
  <si>
    <t>Financijski leasing</t>
  </si>
  <si>
    <t>6492</t>
  </si>
  <si>
    <t>Ostalo kreditno posredovanje</t>
  </si>
  <si>
    <t>6499</t>
  </si>
  <si>
    <t>Ostale financijske uslužne djelatnosti, osim osiguranja i mirovinskih fondova, d. n.</t>
  </si>
  <si>
    <t>6511</t>
  </si>
  <si>
    <t>Životno osiguranje</t>
  </si>
  <si>
    <t>6512</t>
  </si>
  <si>
    <t>Ostalo osiguranje</t>
  </si>
  <si>
    <t>6520</t>
  </si>
  <si>
    <t>Reosiguranje</t>
  </si>
  <si>
    <t>6530</t>
  </si>
  <si>
    <t>Mirovinski fondovi</t>
  </si>
  <si>
    <t>6611</t>
  </si>
  <si>
    <t>Poslovanje financijskih tržišta</t>
  </si>
  <si>
    <t>6612</t>
  </si>
  <si>
    <t>Kastav</t>
  </si>
  <si>
    <t>Pribislavec</t>
  </si>
  <si>
    <t>Žumberak</t>
  </si>
  <si>
    <t>Kaštela</t>
  </si>
  <si>
    <t>Primorski Dolac</t>
  </si>
  <si>
    <t>Župa Dubrovačka</t>
  </si>
  <si>
    <t>Kaštelir - Labinci</t>
  </si>
  <si>
    <t>Primošten</t>
  </si>
  <si>
    <t>Županja</t>
  </si>
  <si>
    <t>Kijevo</t>
  </si>
  <si>
    <t>Privlaka</t>
  </si>
  <si>
    <t>Kistanje</t>
  </si>
  <si>
    <t>Da bi obrazac bio zaprimljen kao potpun i točan, prve dvije skupine kontrola moraju sve biti ispravne, dok je treća samo informativnog karaktera i služi kao upozorenje koje ne utječe na točnost Godišnjeg financijskog izvještaja. Postoji vrlo mala mogućnost da kontrole jave pogrešku kada je nema, za slučaj da ipak takvo nešto primijetite, provjerite na stranicama FINA-e imate li zadnju verziju obrasca. Ako se ova pogreška javlja i na zadnjoj verziji obrazaca, kontaktirajte naš call centar na besplatni broj telefona 0800 0080 te im zajedno s opisom problema dostavite Excel datoteku koja javlja pogrešku gdje je ne bi trebalo biti.</t>
  </si>
  <si>
    <t>3. Pozicije u „Bilanci“ i „Računu dobiti i gubitka“ mogu biti ispunjene iznosima odnosno oznakama pozitivnog ili negativnog predznaka. Kao iznos može se pojaviti i nula.</t>
  </si>
  <si>
    <t>4. Obveznik upisuje matični broj (MB) dodijeljen kao osnovni identifikator od Državnoga zavoda za statistiku.</t>
  </si>
  <si>
    <t xml:space="preserve">       a) Prihodi od naknada za usluge platnog prometa i ostale bankovne usluge 
           trgovačkim društvima</t>
  </si>
  <si>
    <t xml:space="preserve">       b) Prihodi od naknada za usluge platnog prometa i ostale bankovne usluge 
           financijskim institucijama</t>
  </si>
  <si>
    <t xml:space="preserve">  31. Kamatni troškovi s osnove primljenih kredita (145 do 148)</t>
  </si>
  <si>
    <t xml:space="preserve">       a) Troškovi na  kredite primljene od državnih jedinica</t>
  </si>
  <si>
    <t xml:space="preserve">       b) Troškovi na  kredite primljene od  financijskih institucija</t>
  </si>
  <si>
    <t xml:space="preserve">       c) Troškovi na  kredite primljene od  trgovačkih društava</t>
  </si>
  <si>
    <t xml:space="preserve">       d  Troškovi na  kredite primljene od stranih osoba</t>
  </si>
  <si>
    <t xml:space="preserve">  32. Kamatni troškovi s osnove depozita (150 do 155)</t>
  </si>
  <si>
    <t xml:space="preserve">       a) Troškovi na depozite primljene od državnih jedinica </t>
  </si>
  <si>
    <t xml:space="preserve">       b) Troškovi na depozite primljene od financijskih institucija </t>
  </si>
  <si>
    <t xml:space="preserve">       c) Troškovi na depozite primljene od trgovačkih društava</t>
  </si>
  <si>
    <t xml:space="preserve">       d) Troškovi na depozite primljene od neprofitnih  institucija</t>
  </si>
  <si>
    <t xml:space="preserve">       e) Troškovi na depozite primljene od stanovništva</t>
  </si>
  <si>
    <t xml:space="preserve">       f)  Troškovi na depozite primljene od stranih osoba </t>
  </si>
  <si>
    <t xml:space="preserve">  33. Kamatni troškovi na dužničke vrijednosne papire (157 do 162)</t>
  </si>
  <si>
    <t xml:space="preserve">       a) Kamatni troškovi na izdane vlastite dužničke vrijednosne papire </t>
  </si>
  <si>
    <t xml:space="preserve">       b) Kamatni troškovi na hibridne i podređene instrumente trgovačkih društava </t>
  </si>
  <si>
    <t xml:space="preserve">       c) Kamatni troškovi na hibridne i podređene instrumente financijskih institucija</t>
  </si>
  <si>
    <t>U Bilanci, pozicije ukupno imovina (AOP 017) i ukupno obveze i kapital (AOP 044) i moraju biti jednake u obje kolone podataka. Zbog zaokruživanja iznosa, kontrola dozvoljava razliku od 1.</t>
  </si>
  <si>
    <t>Podaci u bilanci pod AOP oznakama 045 do 047 mogu biti upisani samo u konsolidiranom godišnjem financijskom izvještaju.</t>
  </si>
  <si>
    <t>Podaci u računu dobiti i gubitka pod AOP oznakama 073 do 075 mogu biti upisani samo u konsolidiranom godišnjem financijskom izvještaju</t>
  </si>
  <si>
    <t>U Dodatnim podacima bruto vrijednosti nekih stavaka imovine moraju biti veće ili jednake neto vrijednostima istih, tako da za sljedeće AOP oznake moraju biti zadovoljeni ovi uvjeti: 077&lt;=076, 079&lt;=078; 081&lt;=080; 083&lt;=082; 085&lt;=084; 089&lt;=088; 091&lt;=090; 094&lt;=092, 095&lt;=093; 098&lt;=096; 099&lt;=097; 101&lt;=100; 103&lt;=102; 105&lt;=104. Isto tako, neke AOP oznake u bruto ili neto iznosu samo su dio druge stavke i prema tome ne mogu biti veće od iznosa nadređene stavke. Zbog toga vrijedi pravilo i za ove AOP oznake: 093&lt;=092; 095&lt;=094; 097&lt;=096; 099&lt;=098. Ako samo neki od ovih uvjeta nije ispunjen obrazac nije ispravan.</t>
  </si>
  <si>
    <t>U novčanom tijeku po direktnoj metodi podaci pod AOP oznakama 004 do 006, 009, 025 i 038 moraju upisani s negativnim predznakom.</t>
  </si>
  <si>
    <t xml:space="preserve">  6. Neto priljev / odljev gotovine iz poslovnih aktivnosti (024+025)</t>
  </si>
  <si>
    <t xml:space="preserve">  6. Neto priljev / odljev gotovine iz poslovnih aktivnosti (022+023)</t>
  </si>
  <si>
    <t>U novčanom tijeku po direktnoj metodi podaci pod AOP oznakama 002, 003, 008, 031, 037, 043 i 044 moraju biti upisani s pozitivnim predznakom.</t>
  </si>
  <si>
    <t>U novčanom tijeku po indirektnoj metodi podaci pod AOP oznakama 023 i 036 moraju biti upisani s negativnim predznakom</t>
  </si>
  <si>
    <t>U novčanom tijeku po indirektnoj metodi podaci pod AOP oznakama 004, 029, 035, 041 i 042 moraju biti upisani s pozitivnim predznakom</t>
  </si>
  <si>
    <r>
      <t xml:space="preserve">Nakon što ste na stranici osnovnih podataka ispravno označili vrstu obveznika, popunili sve opće te financijske podatke provjerite na radnom listu </t>
    </r>
    <r>
      <rPr>
        <b/>
        <sz val="8"/>
        <color indexed="56"/>
        <rFont val="Arial"/>
        <family val="2"/>
      </rPr>
      <t>Kontrole</t>
    </r>
    <r>
      <rPr>
        <sz val="8"/>
        <color indexed="56"/>
        <rFont val="Arial"/>
        <family val="2"/>
      </rPr>
      <t xml:space="preserve"> jesu li sve kontrole ispravne. Pored svake kontrole stoji tekst "Ispravno" ili "Nije ispravno", zavisno je li uvjet koji ta kontrola provjerava zadovoljen ili nije. Opis kontrole objašnjava što kontrola provjerava, u kojim slučajevima nije ispravna, te je pomoć u otkrivanju pogreške u podacima ili koja nestandardna dokumentacija nedostaje.</t>
    </r>
  </si>
  <si>
    <r>
      <t xml:space="preserve">Predajete li </t>
    </r>
    <r>
      <rPr>
        <b/>
        <sz val="8"/>
        <color indexed="56"/>
        <rFont val="Arial"/>
        <family val="2"/>
      </rPr>
      <t>konsolidirani</t>
    </r>
    <r>
      <rPr>
        <sz val="8"/>
        <color indexed="56"/>
        <rFont val="Arial"/>
        <family val="2"/>
      </rPr>
      <t xml:space="preserve"> izvještaj, Matični brojevi za sve subjekte konsolidacije moraju se navesti na radnom listu ListaMB i to: matični broj državnog zavoda za statistiku,</t>
    </r>
    <r>
      <rPr>
        <strike/>
        <sz val="8"/>
        <color indexed="10"/>
        <rFont val="Arial"/>
        <family val="2"/>
      </rPr>
      <t xml:space="preserve"> </t>
    </r>
    <r>
      <rPr>
        <sz val="8"/>
        <rFont val="Arial"/>
        <family val="2"/>
      </rPr>
      <t>(za subjekte konsolidacije čije sjedište nije u Hrvatskoj polje matičnog broja ostavlja se prazno)</t>
    </r>
    <r>
      <rPr>
        <sz val="8"/>
        <color indexed="56"/>
        <rFont val="Arial"/>
        <family val="2"/>
      </rPr>
      <t xml:space="preserve">, naziv subjekta, mjesto/naselje </t>
    </r>
    <r>
      <rPr>
        <sz val="8"/>
        <rFont val="Arial"/>
        <family val="2"/>
      </rPr>
      <t>(država i mjesto/naselje za subjekte čije sjedište je van Hrvatske)</t>
    </r>
    <r>
      <rPr>
        <sz val="8"/>
        <color indexed="56"/>
        <rFont val="Arial"/>
        <family val="2"/>
      </rPr>
      <t xml:space="preserve"> te postotak vlasništva koje matica ima nad tim subjektom.</t>
    </r>
  </si>
  <si>
    <r>
      <t xml:space="preserve">Prema dosadašnjim iskustvima, Excel datoteku popunjenu kroz </t>
    </r>
    <r>
      <rPr>
        <b/>
        <sz val="8"/>
        <color indexed="56"/>
        <rFont val="Arial"/>
        <family val="2"/>
      </rPr>
      <t>vanjski program</t>
    </r>
    <r>
      <rPr>
        <sz val="8"/>
        <color indexed="56"/>
        <rFont val="Arial"/>
        <family val="2"/>
      </rPr>
      <t xml:space="preserve"> (računovodstveni program ili neki drugi) vrlo često nije moguće učitati jer je tehnika punjenja iz vanjskog programa takva da on otvori Excel, popuni polja podacima i zatvori ga u vrlo kratkom vremenu, tako da se svi izračuni (suma, kontrola, kontrolnog broja i slično) ne stignu izračunati, a Excel datoteka je već zatvorena. Otvorite li takav izvještaj u Excel-u, možete primijetiti u djeliću sekunde da se kontrolni broj i svi drugi iznosi naglo mijenjaju (obavljaju se izračuni unutar Excel-a) te konačan izvještaj izgleda ispravan. Zatvorite li takvu Excel datoteku bez da je ponovo snimite, ona ponovo ostaje onakva kakva je bila prije otvaranja, s neizračunatim sumama, kontrolama i ostalim poljima, a takvu nije moguće programski učitati.</t>
    </r>
  </si>
  <si>
    <t>C) UKUPNO KAPITAL (036 do 042)</t>
  </si>
  <si>
    <t xml:space="preserve">1. UKUPNO KAPITAL </t>
  </si>
  <si>
    <t>2. Kapital raspoloživ dioničarima matičnog društva</t>
  </si>
  <si>
    <r>
      <t xml:space="preserve">Rbr. 
</t>
    </r>
    <r>
      <rPr>
        <b/>
        <sz val="7"/>
        <color indexed="9"/>
        <rFont val="Arial"/>
        <family val="2"/>
      </rPr>
      <t>bilješke</t>
    </r>
  </si>
  <si>
    <t>2441</t>
  </si>
  <si>
    <t>Proizvodnja plemenitih metala</t>
  </si>
  <si>
    <t>2442</t>
  </si>
  <si>
    <t>Proizvodnja aluminija</t>
  </si>
  <si>
    <t>2443</t>
  </si>
  <si>
    <t>Proizvodnja olova, cinka i kositra</t>
  </si>
  <si>
    <t>2444</t>
  </si>
  <si>
    <t>Proizvodnja bakra</t>
  </si>
  <si>
    <t>2445</t>
  </si>
  <si>
    <t>18.</t>
  </si>
  <si>
    <t>19.</t>
  </si>
  <si>
    <t>20.</t>
  </si>
  <si>
    <t>21.</t>
  </si>
  <si>
    <t>22.</t>
  </si>
  <si>
    <t>23.</t>
  </si>
  <si>
    <t>24.</t>
  </si>
  <si>
    <t>25.</t>
  </si>
  <si>
    <t>26.</t>
  </si>
  <si>
    <t>27.</t>
  </si>
  <si>
    <t>28.</t>
  </si>
  <si>
    <t>29.</t>
  </si>
  <si>
    <t>Kombinirane uredske administrativne uslužne djelatnosti</t>
  </si>
  <si>
    <t>8219</t>
  </si>
  <si>
    <t>Fotokopiranje, priprema dokumenata i ostale specijalizirane uredske pomoćne djelatnosti</t>
  </si>
  <si>
    <t>8220</t>
  </si>
  <si>
    <t>Djelatnosti pozivnih centara</t>
  </si>
  <si>
    <t>8230</t>
  </si>
  <si>
    <t>Organizacija sastanaka i poslovnih sajmova</t>
  </si>
  <si>
    <t>8291</t>
  </si>
  <si>
    <t>Djelatnosti agencija za prikupljanje i naplatu računa te kreditnih ureda</t>
  </si>
  <si>
    <t>8292</t>
  </si>
  <si>
    <t>Djelatnosti pakiranja</t>
  </si>
  <si>
    <t>8299</t>
  </si>
  <si>
    <t>Ostale poslovne pomoćne uslužne djelatnosti, d. n.</t>
  </si>
  <si>
    <t>8411</t>
  </si>
  <si>
    <t>Opće djelatnosti javne uprave</t>
  </si>
  <si>
    <t>8412</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</si>
  <si>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</si>
  <si>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</si>
  <si>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</si>
  <si>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</si>
  <si>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</si>
  <si>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</si>
  <si>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</si>
  <si>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</si>
  <si>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</si>
  <si>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</si>
  <si>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</si>
  <si>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</si>
  <si>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</si>
  <si>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</si>
  <si>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</si>
  <si>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</si>
  <si>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</si>
  <si>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</si>
  <si>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</si>
  <si>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</si>
  <si>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</si>
  <si>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</si>
  <si>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</si>
  <si>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</si>
  <si>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</si>
  <si>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</si>
  <si>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</si>
  <si>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</si>
  <si>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</si>
  <si>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</si>
  <si>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</si>
  <si>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</si>
  <si>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</si>
  <si>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</si>
  <si>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</si>
  <si>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</si>
  <si>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Proizvodnja ambalaže od drva</t>
  </si>
  <si>
    <t>1629</t>
  </si>
  <si>
    <t>Proizvodnja ostalih proizvoda od drva, proizvoda od pluta, slame i pletarskih materijala</t>
  </si>
  <si>
    <t>1711</t>
  </si>
  <si>
    <t>Proizvodnja celuloze</t>
  </si>
  <si>
    <t>1712</t>
  </si>
  <si>
    <t>Proizvodnja papira i kartona</t>
  </si>
  <si>
    <t>1721</t>
  </si>
  <si>
    <t>Proizvodnja valovitog papira i kartona te ambalaže od papira i kartona</t>
  </si>
  <si>
    <t>1722</t>
  </si>
  <si>
    <t>Djelatnosti vatrogasne službe</t>
  </si>
  <si>
    <t>8430</t>
  </si>
  <si>
    <t>Djelatnosti obveznoga socijalnog osiguranja</t>
  </si>
  <si>
    <t>8510</t>
  </si>
  <si>
    <t>Predškolsko obrazovanje</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</si>
  <si>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</si>
  <si>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</si>
  <si>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</si>
  <si>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</si>
  <si>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</si>
  <si>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</si>
  <si>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</si>
  <si>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</si>
  <si>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</si>
  <si>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</si>
  <si>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</si>
  <si>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</si>
  <si>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</si>
  <si>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</si>
  <si>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</si>
  <si>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</si>
  <si>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</si>
  <si>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</si>
  <si>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</si>
  <si>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</si>
  <si>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</si>
  <si>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</si>
  <si>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</si>
  <si>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</si>
  <si>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</si>
  <si>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</si>
  <si>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</si>
  <si>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</si>
  <si>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</si>
  <si>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</si>
  <si>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</si>
  <si>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</si>
  <si>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</si>
  <si>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r>
      <t>Upozorenje na broj zaposlenih</t>
    </r>
    <r>
      <rPr>
        <sz val="8"/>
        <color indexed="56"/>
        <rFont val="Arial"/>
        <family val="2"/>
      </rPr>
      <t>. Ova kontrola samo upozorava ako je broj zaposlenih veći od 1000 (na bilo kojoj poziciji broja zaposlenih) ili ako je razlika broja zaposlenih prema stanju i satima rada (ili tekuće godine u odnosu na prethodnu) veća nego je to uobičajeno (više od 20%). Svrha ove kontorle je da ukaže na mogućnost pogreške u broju zaposlenih. Provjerite upisane vrijednosti na Referentnoj stranici (radni list Opci) i ako je broj zaposlenih ispravno upisan u sva 4 polja kontrolu zanemarite.</t>
    </r>
  </si>
  <si>
    <t>Javno trgovačko društvo</t>
  </si>
  <si>
    <t>Komanditno društvo</t>
  </si>
  <si>
    <t>Gospodarsko interesno udruženje</t>
  </si>
  <si>
    <t>Dioničko društvo</t>
  </si>
  <si>
    <t>Društvo s ograničenom odgovornošću</t>
  </si>
  <si>
    <t>Trgovac pojedinac</t>
  </si>
  <si>
    <t>Zadruga</t>
  </si>
  <si>
    <t>Druga osoba za koje je upis propisan zakonom</t>
  </si>
  <si>
    <t>Inozemni osnivač</t>
  </si>
  <si>
    <t>Obrtnik, obveznik poreza na dobit</t>
  </si>
  <si>
    <t>Slobodno zanimanje</t>
  </si>
  <si>
    <t>Obiteljsko gospodarstvo</t>
  </si>
  <si>
    <t>Privatna osoba, obveznik poreza na dobit</t>
  </si>
  <si>
    <t>Ostali obveznici poreza na dobit</t>
  </si>
  <si>
    <t>. godinu</t>
  </si>
  <si>
    <t>NE</t>
  </si>
  <si>
    <t>Zadružno vlasništvo (zadruge)</t>
  </si>
  <si>
    <t>Mješovito vlasništvo s preko 50% privatnog kapitala</t>
  </si>
  <si>
    <t>Mješovito vlasništvo s preko 50% državnog kapitala</t>
  </si>
  <si>
    <t>Vrsta izvještaja:</t>
  </si>
  <si>
    <t>Izvještaj kojeg ispunjava obveznik kome je kalendarska godina jednaka poslovnoj godini i kod kojeg u godini za koju se izvještaj podnosi nije bilo statusnih promjena, stečaja ili likvidacije.</t>
  </si>
  <si>
    <t>IZNOS11</t>
  </si>
  <si>
    <t>MB</t>
  </si>
  <si>
    <t>MBS</t>
  </si>
  <si>
    <t>NAZIV</t>
  </si>
  <si>
    <t>POSTA</t>
  </si>
  <si>
    <t>MJESTO</t>
  </si>
  <si>
    <t>ADRESA</t>
  </si>
  <si>
    <t>DJELAT</t>
  </si>
  <si>
    <t>OPCINA</t>
  </si>
  <si>
    <t>ZUPANIJA</t>
  </si>
  <si>
    <t>VRSTA_IZV</t>
  </si>
  <si>
    <t>OPIS</t>
  </si>
  <si>
    <t>VRIJEDNOST</t>
  </si>
  <si>
    <t>OBRAZAC</t>
  </si>
  <si>
    <t>SIFRA</t>
  </si>
  <si>
    <t>BILJESKA</t>
  </si>
  <si>
    <t>IMARDG</t>
  </si>
  <si>
    <t>IMABIL</t>
  </si>
  <si>
    <t>IMADOD</t>
  </si>
  <si>
    <t>IMANTD</t>
  </si>
  <si>
    <t>IMANTI</t>
  </si>
  <si>
    <t>IMAPK</t>
  </si>
  <si>
    <t>DATUMOD</t>
  </si>
  <si>
    <t>DATUMDO</t>
  </si>
  <si>
    <r>
      <t xml:space="preserve">Broj zaposlenih:
</t>
    </r>
    <r>
      <rPr>
        <sz val="8"/>
        <rFont val="Arial"/>
        <family val="2"/>
      </rPr>
      <t>(krajem razdoblja)</t>
    </r>
  </si>
  <si>
    <t>Broj zaposlenih
(na temelju sati rada)</t>
  </si>
  <si>
    <t>DatumDo</t>
  </si>
  <si>
    <t>DatumOd</t>
  </si>
  <si>
    <t>Vrsta_izv</t>
  </si>
  <si>
    <t>Matični</t>
  </si>
  <si>
    <t>naziv</t>
  </si>
  <si>
    <t>Pošta</t>
  </si>
  <si>
    <t>Adresa</t>
  </si>
  <si>
    <t>Općina</t>
  </si>
  <si>
    <t>Županija</t>
  </si>
  <si>
    <t>NKD</t>
  </si>
  <si>
    <t>Konsolid</t>
  </si>
  <si>
    <t>KONTROLIRAN</t>
  </si>
  <si>
    <t>Revizija</t>
  </si>
  <si>
    <t>Svrha</t>
  </si>
  <si>
    <t>Osobni identifikacijski broj (OIB):</t>
  </si>
  <si>
    <t>Opis što kontrola provjerava</t>
  </si>
  <si>
    <t>Matematičko - logičke obvezne kontrole (kontrole koje u svim uvjetima moraju biti zadovoljene)</t>
  </si>
  <si>
    <r>
      <t xml:space="preserve">Doprinosi i članarine iz prihoda (AOP183) </t>
    </r>
    <r>
      <rPr>
        <sz val="8"/>
        <color indexed="56"/>
        <rFont val="Arial"/>
        <family val="2"/>
      </rPr>
      <t>−</t>
    </r>
    <r>
      <rPr>
        <b/>
        <sz val="8"/>
        <color indexed="56"/>
        <rFont val="Arial"/>
        <family val="2"/>
      </rPr>
      <t xml:space="preserve"> </t>
    </r>
    <r>
      <rPr>
        <sz val="8"/>
        <color indexed="56"/>
        <rFont val="Arial"/>
        <family val="2"/>
      </rPr>
      <t>iskazuju se članarine komorama, udrugama i društvima, doprinosi za općekorisnu funkciju šuma, doprinosi turističkoj zajednici, spomenička renta i sl.</t>
    </r>
  </si>
  <si>
    <r>
      <t xml:space="preserve">Troškovi usluga investicijskog održavanja (AOP 185) </t>
    </r>
    <r>
      <rPr>
        <sz val="8"/>
        <color indexed="56"/>
        <rFont val="Arial"/>
        <family val="2"/>
      </rPr>
      <t>−</t>
    </r>
    <r>
      <rPr>
        <b/>
        <sz val="8"/>
        <color indexed="56"/>
        <rFont val="Arial"/>
        <family val="2"/>
      </rPr>
      <t xml:space="preserve"> </t>
    </r>
    <r>
      <rPr>
        <sz val="8"/>
        <color indexed="56"/>
        <rFont val="Arial"/>
        <family val="2"/>
      </rPr>
      <t>iskazuju se samo troškovi usluga investicijskog održavanja (adaptacije, rekonstrukcije, modernizacije i sl.) bez tekućeg održavanja.</t>
    </r>
  </si>
  <si>
    <r>
      <t xml:space="preserve">Za sva dodatna tumačenja u svezi s popunjavanjem pojedinih stavki iz obrasca BAN-DOP možete se obratiti na adresu elektroničke pošte: </t>
    </r>
    <r>
      <rPr>
        <b/>
        <u val="single"/>
        <sz val="10"/>
        <color indexed="12"/>
        <rFont val="Arial"/>
        <family val="2"/>
      </rPr>
      <t>pod-dop@dzs.hr</t>
    </r>
  </si>
  <si>
    <t>1. Obrasce ispunjavaju banke, štedne banke, stambene štedionice koje su na temelju čl. 3. Zakona o računovodstvu („Narodne novine“ broj 109/07) razvrstane kao veliki poduzetnici ii podružnice stranih banaka u Republici Hrvatskoj (dalje u tekstu: banke).</t>
  </si>
  <si>
    <t>10. Porijeklo kapitala: unosi se postotak domaćega i stranoga kapitala.</t>
  </si>
  <si>
    <t xml:space="preserve">      1.4. Plaćene naknade i provizije</t>
  </si>
  <si>
    <t xml:space="preserve">      1.5. Plaćeni troškovi poslovanja</t>
  </si>
  <si>
    <t xml:space="preserve">      1.7. Ostali primici</t>
  </si>
  <si>
    <t xml:space="preserve">      1.8. Ostali izdaci</t>
  </si>
  <si>
    <t xml:space="preserve">  2. Neto povećanje /smanjenje poslovne imovine (011 do 018)</t>
  </si>
  <si>
    <t xml:space="preserve">      2.6. Vrijednosni papiri i drugi financijski instrumenti raspoloživi za prodaju</t>
  </si>
  <si>
    <t xml:space="preserve">      2.8. Ostala imovina</t>
  </si>
  <si>
    <t xml:space="preserve">  3. Neto povećanje / smanjenje poslovnih obveza (020 do 023)</t>
  </si>
  <si>
    <t xml:space="preserve">  4. Neto priljev / odljev gotovine iz poslovnih aktivnosti prije 
      plaćanja poreza na dobit (001+010+019)</t>
  </si>
  <si>
    <t xml:space="preserve">      2.7. Vrijednosni papiri i drugi financijski instrumenti kojima se aktivno ne 
              trguje, a vrednuju se prema fer vrijednosti kroz RDG</t>
  </si>
  <si>
    <t xml:space="preserve">      2.5. Vrijednosni papiri i drugi financijski instrumenti koji se drže radi 
              trgovanja</t>
  </si>
  <si>
    <t xml:space="preserve">  7. Neto priljev / odljev gotovine iz ulagačkih aktivnosti (028 do 032)</t>
  </si>
  <si>
    <t xml:space="preserve">      7.5. Ostali primici / plaćanja iz ulagačkih aktivnosti</t>
  </si>
  <si>
    <t xml:space="preserve">      7.1. Primici od prodaje / plaćanja za kupnju materijalne  i nematerijalne 
              imovine</t>
  </si>
  <si>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</si>
  <si>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</si>
  <si>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8. Neto priljev / odljev gotovine iz financijskih aktivnosti (034 do 039)</t>
  </si>
  <si>
    <t xml:space="preserve">      8.1. Neto povećanje / smanjenje primljenih kredita</t>
  </si>
  <si>
    <t xml:space="preserve">      8.2. Neto povećanje / smanjenje izdanih dužničkih vrijednosnih papira</t>
  </si>
  <si>
    <t xml:space="preserve">      8.3. Neto povećanje / smanjenje podređenih i hibridnih instrumenata</t>
  </si>
  <si>
    <t xml:space="preserve">      8.6. Ostali primici /plaćanja iz  financijskih aktivnosti</t>
  </si>
  <si>
    <t xml:space="preserve">  9. Neto priljev /odljev gotovine (026+027+033)</t>
  </si>
  <si>
    <t>10. Učinci promjene tečaja stranih valuta na gotovinu i ekvivalente gotovine</t>
  </si>
  <si>
    <t>11. Neto povećanje / smanjenje gotovine i ekvivalenata gotovine (040+041)</t>
  </si>
  <si>
    <t xml:space="preserve">12. Gotovina i ekvivalenti gotovine na početku godine </t>
  </si>
  <si>
    <t>13. Gotovina i ekvivalenti gotovine na kraju godine  (042+043)</t>
  </si>
  <si>
    <r>
      <t>Obrazac</t>
    </r>
    <r>
      <rPr>
        <b/>
        <sz val="10"/>
        <color indexed="18"/>
        <rFont val="Arial"/>
        <family val="2"/>
      </rPr>
      <t xml:space="preserve">
</t>
    </r>
    <r>
      <rPr>
        <b/>
        <sz val="12"/>
        <color indexed="18"/>
        <rFont val="Arial Black"/>
        <family val="2"/>
      </rPr>
      <t>BAN-NTD</t>
    </r>
  </si>
  <si>
    <t>Uzgoj usjeva za pripremanje napitaka</t>
  </si>
  <si>
    <t>0128</t>
  </si>
  <si>
    <t>Obuhvaća se materijalna (zgrade i druge građevine, strojevi i oprema s montažom, osnovno stado, pošumljavanje i dugogodišnji nasadi) i nematerijalna imovina (rudarska/mineralna istraživanja, softver, zabavni, književni i umjetnički originali, patentna prava i licencije) koja ima vijek trajanja duži od jedne godine.</t>
  </si>
  <si>
    <t>6831</t>
  </si>
  <si>
    <t>Agencije za poslovanje nekretninama</t>
  </si>
  <si>
    <t>6832</t>
  </si>
  <si>
    <t>Trgovina na malo mesom i mesnim proizvodima u specijaliziranim prodavaonicama</t>
  </si>
  <si>
    <t>4723</t>
  </si>
  <si>
    <t>Trgovina na malo ribama, rakovima i školjkama u specijaliziranim prodavaonicama</t>
  </si>
  <si>
    <t>4724</t>
  </si>
  <si>
    <t>BILANCA</t>
  </si>
  <si>
    <t>RAČUN DOBITI I GUBITKA</t>
  </si>
  <si>
    <r>
      <t>Obrazac</t>
    </r>
    <r>
      <rPr>
        <b/>
        <sz val="10"/>
        <color indexed="18"/>
        <rFont val="Arial"/>
        <family val="2"/>
      </rPr>
      <t xml:space="preserve">
</t>
    </r>
    <r>
      <rPr>
        <b/>
        <sz val="12"/>
        <color indexed="18"/>
        <rFont val="Arial Black"/>
        <family val="2"/>
      </rPr>
      <t>BAN-DOP</t>
    </r>
  </si>
  <si>
    <t>NEMATERIJALNA IMOVINA</t>
  </si>
  <si>
    <t xml:space="preserve">    1. Osnivački izdaci (bruto)</t>
  </si>
  <si>
    <t xml:space="preserve">    2. Osnivački izdaci (neto)</t>
  </si>
  <si>
    <t xml:space="preserve">    3. Goodwill (bruto)</t>
  </si>
  <si>
    <t xml:space="preserve">    4. Goodwill (neto)</t>
  </si>
  <si>
    <t xml:space="preserve">    5. Aplikativni softver (bruto)</t>
  </si>
  <si>
    <t xml:space="preserve">    6. Aplikativni softver (neto)</t>
  </si>
  <si>
    <t xml:space="preserve">    7. Ostala nematerijalna ulaganja (bruto)</t>
  </si>
  <si>
    <t xml:space="preserve">    8. Ostala nematerijalna ulaganja (neto)</t>
  </si>
  <si>
    <t xml:space="preserve">    9. Ostala nematerijalna imovina (bruto)</t>
  </si>
  <si>
    <t xml:space="preserve">  10. Ostala nematerijalna imovina (neto)</t>
  </si>
  <si>
    <t>Nematerijalna imovina bruto (076+078+080+082+084)</t>
  </si>
  <si>
    <t>Nematerijalna imovina neto (077+079+081+083+085)</t>
  </si>
  <si>
    <t>MATERIJALNA IMOVINA</t>
  </si>
  <si>
    <t xml:space="preserve">  11. Zemljišta (bruto) </t>
  </si>
  <si>
    <t xml:space="preserve">  12. Zemljišta (neto)</t>
  </si>
  <si>
    <t xml:space="preserve">  13. Građevinski objekti (bruto)</t>
  </si>
  <si>
    <t xml:space="preserve">  14. Građevinski objekti (neto)</t>
  </si>
  <si>
    <t xml:space="preserve">  15. Postrojenja i oprema (bruto)</t>
  </si>
  <si>
    <t xml:space="preserve">       15.1. u tome: elektronička računala i ostala oprema za obradu podataka (bruto)</t>
  </si>
  <si>
    <t xml:space="preserve">  16. Postrojenja i oprema (neto)</t>
  </si>
  <si>
    <t xml:space="preserve">       16.1. u tome: elektronička računala i ostala oprema za obradu podataka (neto)</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</si>
  <si>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</si>
  <si>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</si>
  <si>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</si>
  <si>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</si>
  <si>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</si>
  <si>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</si>
  <si>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</si>
  <si>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</si>
  <si>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</si>
  <si>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</si>
  <si>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</si>
  <si>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</si>
  <si>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</si>
  <si>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</si>
  <si>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</si>
  <si>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</si>
  <si>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</si>
  <si>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t>Opis šifre djelatnosti</t>
  </si>
  <si>
    <t>Šifra</t>
  </si>
  <si>
    <t>Od 1. siječnja 2009. godine svi izvještaji predaju se prema novom šifrarniku djelatnosti (NKD 2007). U nastavku je dan popis šifri djelatnosti prema NKD-u 2007.</t>
  </si>
  <si>
    <t>Naziv općine /  grada</t>
  </si>
  <si>
    <t>Andrijaševci</t>
  </si>
  <si>
    <t>Klakar</t>
  </si>
  <si>
    <t>Proložac</t>
  </si>
  <si>
    <t>Antunovac</t>
  </si>
  <si>
    <t>Klana</t>
  </si>
  <si>
    <t>Promina</t>
  </si>
  <si>
    <t>Babina Greda</t>
  </si>
  <si>
    <t>Klanjec</t>
  </si>
  <si>
    <t>Trgovina na malo medicinskim pripravcima i ortopedskim pomagalima u specijaliziranim prodavaonicama</t>
  </si>
  <si>
    <t>4775</t>
  </si>
  <si>
    <t>Trgovina na malo kozmetičkim i toaletnim proizvodima u specijaliziranim prodavaonicama</t>
  </si>
  <si>
    <t>4776</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</si>
  <si>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</si>
  <si>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</si>
  <si>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</si>
  <si>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</si>
  <si>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</si>
  <si>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</si>
  <si>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</si>
  <si>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</si>
  <si>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</si>
  <si>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</si>
  <si>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</si>
  <si>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</si>
  <si>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</si>
  <si>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</si>
  <si>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</si>
  <si>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</si>
  <si>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</si>
  <si>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</si>
  <si>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</si>
  <si>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</si>
  <si>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</si>
  <si>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</si>
  <si>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</si>
  <si>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</si>
  <si>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</si>
  <si>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</si>
  <si>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</si>
  <si>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</si>
  <si>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</si>
  <si>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</si>
  <si>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</si>
  <si>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</si>
  <si>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</si>
  <si>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</si>
  <si>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</si>
  <si>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</si>
  <si>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</si>
  <si>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IMOVINA</t>
  </si>
  <si>
    <t xml:space="preserve">     1.1.Gotovina</t>
  </si>
  <si>
    <t xml:space="preserve">     1.2.Depoziti kod HNB-a</t>
  </si>
  <si>
    <t xml:space="preserve">  2. DEPOZITI KOD BANKARSKIH INSTITUCIJA</t>
  </si>
  <si>
    <t xml:space="preserve">  3. TREZORSKI ZAPISI MF-a I BLAGAJNIČKI ZAPISI HNB-a</t>
  </si>
  <si>
    <t xml:space="preserve">  6. VRIJEDNOSNI PAPIRI I DRUGI FINANCIJSKI INSTRUMENTI KOJI SE DRŽE
      DO DOSPIJEĆA</t>
  </si>
  <si>
    <t xml:space="preserve">  8. DERIVATNA FINANCIJSKA IMOVINA</t>
  </si>
  <si>
    <t xml:space="preserve">  9. KREDITI FINANCIJSKIM INSTITUCIJAMA </t>
  </si>
  <si>
    <t>10. KREDITI OSTALIM KOMITENTIMA</t>
  </si>
  <si>
    <t>12. PREUZETA IMOVINA</t>
  </si>
  <si>
    <t>13. MATERIJALNA IMOVINA (MINUS AMORTIZACIJA)</t>
  </si>
  <si>
    <t xml:space="preserve">Svi brojčani podaci i šifre u zaglavlju upisuju se kao broj (bez vodećih nula), dok se matični broj državnog zavoda za statistiku (MB), šifra djelatnosti i matični broj trgovačkog suda (MBS) upisuju s vodećim nulama (matični broj na 8 znamenaka, MBS na 9 znamenaka). U vrijeme izrade ove Excel datoteke tek se počelo s uvođenjem Osobnog identifikacijskog broja, tako da trenutno upis ovog broja nije obvezan, dok će vjerojatno već za 2009. godinu biti obvezan i bit će osnovni identifikator obveznika. </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</si>
  <si>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</si>
  <si>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</si>
  <si>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</si>
  <si>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</si>
  <si>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</si>
  <si>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</si>
  <si>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</si>
  <si>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</si>
  <si>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</si>
  <si>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</si>
  <si>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</si>
  <si>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</si>
  <si>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</si>
  <si>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</si>
  <si>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</si>
  <si>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</si>
  <si>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</si>
  <si>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</si>
  <si>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</si>
  <si>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</si>
  <si>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</si>
  <si>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</si>
  <si>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</si>
  <si>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</si>
  <si>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</si>
  <si>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</si>
  <si>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</si>
  <si>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</si>
  <si>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</si>
  <si>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</si>
  <si>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</si>
  <si>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</si>
  <si>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</si>
  <si>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</si>
  <si>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</si>
  <si>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</si>
  <si>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</si>
  <si>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BIL</t>
  </si>
  <si>
    <t>DOD</t>
  </si>
  <si>
    <t>NTI</t>
  </si>
  <si>
    <t>NTD</t>
  </si>
  <si>
    <t>DECIMALE</t>
  </si>
  <si>
    <t>Vrsta poslovnog subjekta:</t>
  </si>
  <si>
    <t>do</t>
  </si>
  <si>
    <t>0892</t>
  </si>
  <si>
    <t>Vađenje treseta</t>
  </si>
  <si>
    <t>0893</t>
  </si>
  <si>
    <t>Vađenje soli</t>
  </si>
  <si>
    <t>0899</t>
  </si>
  <si>
    <t>Vađenje ostalih ruda i kamena, d. n.</t>
  </si>
  <si>
    <t>0910</t>
  </si>
  <si>
    <t>Pomoćne djelatnosti za vađenje nafte i prirodnog plina</t>
  </si>
  <si>
    <t>0990</t>
  </si>
  <si>
    <t>Pomoćne djelatnosti za ostalo rudarstvo i vađenje</t>
  </si>
  <si>
    <t>1011</t>
  </si>
  <si>
    <t>Trgovina na malo tekstilom, odjećom i obućom na štandovima i tržnicama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</si>
  <si>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</si>
  <si>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</si>
  <si>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</si>
  <si>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</si>
  <si>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</si>
  <si>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</si>
  <si>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</si>
  <si>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</si>
  <si>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</si>
  <si>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</si>
  <si>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</si>
  <si>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Hercegovac</t>
  </si>
  <si>
    <t>Petlovac</t>
  </si>
  <si>
    <t>Vižinada</t>
  </si>
  <si>
    <t>Hlebine</t>
  </si>
  <si>
    <t>Petrijanec</t>
  </si>
  <si>
    <t>Vladislavci</t>
  </si>
  <si>
    <t>Hrašćina</t>
  </si>
  <si>
    <t>Petrijevci</t>
  </si>
  <si>
    <t>Voćin</t>
  </si>
  <si>
    <t>Hrvace</t>
  </si>
  <si>
    <t>Petrinja</t>
  </si>
  <si>
    <t>Vodice</t>
  </si>
  <si>
    <t>Oglašavanje preko medija</t>
  </si>
  <si>
    <t>7320</t>
  </si>
  <si>
    <t>Istraživanje tržišta i ispitivanje javnoga mnijenja</t>
  </si>
  <si>
    <t>7410</t>
  </si>
  <si>
    <t>Specijalizirane dizajnerske djelatnosti</t>
  </si>
  <si>
    <t>7420</t>
  </si>
  <si>
    <t xml:space="preserve">23. </t>
  </si>
  <si>
    <t xml:space="preserve">3. </t>
  </si>
  <si>
    <t xml:space="preserve">1. </t>
  </si>
  <si>
    <t>Proizvodnja parfema i toaletno-kozmetičkih preparata</t>
  </si>
  <si>
    <t>2051</t>
  </si>
  <si>
    <t>Proizvodnja eksploziva</t>
  </si>
  <si>
    <t>2052</t>
  </si>
  <si>
    <t xml:space="preserve">Proizvodnja ljepila </t>
  </si>
  <si>
    <t>2053</t>
  </si>
  <si>
    <t>Proizvodnja eteričnih ulja</t>
  </si>
  <si>
    <t>2059</t>
  </si>
  <si>
    <t xml:space="preserve">Proizvodnja ostalih kemijskih proizvoda, d. n. </t>
  </si>
  <si>
    <t>2060</t>
  </si>
  <si>
    <t>Proizvodnja umjetnih vlakana</t>
  </si>
  <si>
    <t>2110</t>
  </si>
  <si>
    <t>Tovarnik</t>
  </si>
  <si>
    <t>Đulovac</t>
  </si>
  <si>
    <t>Nova Rača</t>
  </si>
  <si>
    <t>Tribunj</t>
  </si>
  <si>
    <t>Đurđenovac</t>
  </si>
  <si>
    <t>Novalja</t>
  </si>
  <si>
    <t>Trilj</t>
  </si>
  <si>
    <t>Đurđevac</t>
  </si>
  <si>
    <t>Mjesto</t>
  </si>
  <si>
    <t>15.</t>
  </si>
  <si>
    <t>16.</t>
  </si>
  <si>
    <t>17.</t>
  </si>
  <si>
    <t>Kako je standardna dokumentacija sastavni dio Excel datoteke, popunjavanjem samo jedne AOP oznake unutar nekog obrazaca smatra se da je taj obrazac popunjen (na radnom listu Opci vidi se oznaka DA), dok za nestandardnu dokumentaciju sami upisujete ili odabirete DA ili NE (velikim slovima) s ponuđenog izbornika, označavajući na taj način koju nestandardnu dokumentaciju dostavljate uz izvještaj.</t>
  </si>
  <si>
    <t>20. Neto prihod od poslovanja prije vrijednosnih usklađivanja i rezerviranja 
       za gubitke (050+053 do 064-065-066)</t>
  </si>
  <si>
    <t xml:space="preserve">  6. Neto prihod od provizija i naknada (051-052)</t>
  </si>
  <si>
    <t xml:space="preserve">  3. Neto kamatni prihodi (048-049)</t>
  </si>
  <si>
    <t>3. Manjinski udjel (073-074)</t>
  </si>
  <si>
    <t>3. Manjinski udjel (045-046)</t>
  </si>
  <si>
    <t>B) UKUPNO OBVEZE (018+021+025+028+029+032+033+034)</t>
  </si>
  <si>
    <t xml:space="preserve">  3. OSTALI KREDITI (026+027)</t>
  </si>
  <si>
    <t>A) UKUPNO IMOVINA (001+004 do 016)</t>
  </si>
  <si>
    <t xml:space="preserve">  1. GOTOVINA I DEPOZITI KOD HNB-a (002+003)</t>
  </si>
  <si>
    <t xml:space="preserve">  1. KREDITI OD FINANCIJSKIH INSTITUCIJA (019+020)</t>
  </si>
  <si>
    <t xml:space="preserve">  5. IZDANI DUŽNIČKI VRIJEDNOSNI PAPIRI (030+031)</t>
  </si>
  <si>
    <t>POSLOVNE AKTIVNOSTI</t>
  </si>
  <si>
    <t xml:space="preserve">      1.1. Dobit / gubitak prije oporezivanja </t>
  </si>
  <si>
    <t xml:space="preserve">      1.2. Ispravci vrijednosti i rezerviranja za gubitke</t>
  </si>
  <si>
    <t xml:space="preserve">      1.3. Amortizacija</t>
  </si>
  <si>
    <t xml:space="preserve">      1.4. Neto nerealizirana dobit/gubitak od financijske imovine i obveza 
             po fer vrijednosti kroz RDG</t>
  </si>
  <si>
    <t xml:space="preserve">  2. Neto povećanje / smanjenje poslovne imovine (009 do 016)</t>
  </si>
  <si>
    <t xml:space="preserve">      2.1. Depoziti kod HNB-a</t>
  </si>
  <si>
    <t xml:space="preserve">      2.2. Trezorski zapisi MF-a i blagajnički zapisi HNB-a</t>
  </si>
  <si>
    <t xml:space="preserve">      2.3. Depoziti kod bankarskih institucija i krediti financijskim institucijama</t>
  </si>
  <si>
    <t xml:space="preserve">      2.4. Krediti ostalim komitentima</t>
  </si>
  <si>
    <t xml:space="preserve">      2.8. Ostala poslovna imovina</t>
  </si>
  <si>
    <t xml:space="preserve">  3. Neto povećanje / smanjenje poslovnih obveza (018 do 021)</t>
  </si>
  <si>
    <t xml:space="preserve">      3.1. Depoziti po viđenju</t>
  </si>
  <si>
    <t xml:space="preserve">      3.2. Štedni i oročeni depoziti</t>
  </si>
  <si>
    <t xml:space="preserve">      3.3. Derivatne financijske obveze i ostale obveze kojima se trguje</t>
  </si>
  <si>
    <t xml:space="preserve">      3.4. Ostale obveze</t>
  </si>
  <si>
    <t xml:space="preserve">  5. Plaćeni porez na dobit</t>
  </si>
  <si>
    <t xml:space="preserve">  4. Neto novčani tijek iz poslovnih aktivnosti prije plaćanja poreza na dobit 
      (001+008+017)</t>
  </si>
  <si>
    <t>ULAGAČKE AKTIVNOSTI</t>
  </si>
  <si>
    <r>
      <t>Bilješke uz financijske izvještaje</t>
    </r>
    <r>
      <rPr>
        <sz val="8"/>
        <color indexed="56"/>
        <rFont val="Arial"/>
        <family val="2"/>
      </rPr>
      <t xml:space="preserve"> predaju se u svrhu javne objave (samo za javnu objavu ili za javnu objavu i statistiku). Bilješka uz financijske izještaje obavezna je za sve vrste izvještaja, a ne predaje se ako je svrha predaje samo u statističke potrebe. Pogreška je kada je u Općim podacima označeno "NE", a treba biti "DA" ili nije upisano ni "NE" ni "DA".</t>
    </r>
  </si>
  <si>
    <t>Sokolovac</t>
  </si>
  <si>
    <t>Cernik</t>
  </si>
  <si>
    <t>Trgovina na veliko poljoprivrednim strojevima, opremom i priborom</t>
  </si>
  <si>
    <t>4662</t>
  </si>
  <si>
    <r>
      <t xml:space="preserve">Od 2008. godine godišnji financijski izvještaji općenito, pa tako i Excel verzije obrazaca doživjeli su velike promjene, od izgleda samog obrasca do načina popunjavanja i predaje. Dobro proučite ove upute kako biste ispravno popunili Excel datoteku. Posebnu pozornost na ovu Uputu trebaju obratiti oni koji obrasce popunjavaju u </t>
    </r>
    <r>
      <rPr>
        <b/>
        <sz val="9"/>
        <color indexed="10"/>
        <rFont val="Arial"/>
        <family val="2"/>
      </rPr>
      <t>Open Office-u</t>
    </r>
    <r>
      <rPr>
        <b/>
        <sz val="9"/>
        <color indexed="56"/>
        <rFont val="Arial"/>
        <family val="2"/>
      </rPr>
      <t xml:space="preserve"> ili </t>
    </r>
    <r>
      <rPr>
        <b/>
        <sz val="9"/>
        <color indexed="10"/>
        <rFont val="Arial"/>
        <family val="2"/>
      </rPr>
      <t>Excel 2007</t>
    </r>
    <r>
      <rPr>
        <b/>
        <sz val="9"/>
        <color indexed="56"/>
        <rFont val="Arial"/>
        <family val="2"/>
      </rPr>
      <t xml:space="preserve"> verziji jer Open Office ima neke specifičnosti prilikom rada u njemu, dok konverzijom u noviji Excel 2007 format datoteke postaju neupotrebljivi za učitavanje.</t>
    </r>
  </si>
  <si>
    <t>Umjesto u jedan radni list (kako je to bilo do sada), financijski se podaci upisuju u više radnih listova, Opci, Bilanca, RDG, BanDop, NT_I, NT_D, PK, ListeMB.</t>
  </si>
  <si>
    <t>Preporučuje se i unos podataka čiji upis nije obvezan jer se njihovim upisom, u slučaju potrebe, olakšava komunikacija između obveznika predaje i FINA-e. Isto tako, iako nije sastavni dio propisanog obrasca, obvezno je popunjavanje Datuma od i Datuma do izvještajnog razdoblja na koje se izvještaj odnosi. Podatak o razdoblju na koje se izvještaj odnosi neophodan je iz nekoliko razloga i to: provjera broja mjeseci poslovanja u tekućoj godini, datumi razdoblja na koje se izvještaj odnosi prenose se automatizmom na svu standardnu dokumentaciju (a time se izbjegava mogućnost da se datumi bilance, računa dobiti i gubitka te ostalih izvještaja međusobno razlikuju).</t>
  </si>
  <si>
    <t>Podaci u bilanci pod AOP oznakama 001 do 036, 039, 040 moraju biti pozitivni ili jednaki nuli.</t>
  </si>
  <si>
    <t>2349</t>
  </si>
  <si>
    <t>Proizvodnja ostalih proizvoda od keramike</t>
  </si>
  <si>
    <t>2351</t>
  </si>
  <si>
    <t>Proizvodnja cementa</t>
  </si>
  <si>
    <t>2352</t>
  </si>
  <si>
    <t xml:space="preserve">Proizvodnja vapna i gipsa </t>
  </si>
  <si>
    <t>2361</t>
  </si>
  <si>
    <t>Proizvodnja proizvoda od betona za građevinarstvo</t>
  </si>
  <si>
    <t>2362</t>
  </si>
  <si>
    <t>Broj mjeseci poslovanja:</t>
  </si>
  <si>
    <t>Osoba za kontaktiranje:</t>
  </si>
  <si>
    <t>(unosi se samo prezime i ime osobe za kontakt)</t>
  </si>
  <si>
    <t>Telefon:</t>
  </si>
  <si>
    <t>Telefaks:</t>
  </si>
  <si>
    <t>Kod Bilance, Računa dobiti i gubitka i Promjena kapitala, postoji dio AOP oznaka (na kraju svakog obrasca) koje se popunjavaju samo prilikom predaje konsolidiranih izvještaja. Ova kontrola je pogrešna ako su te pozicije ispunjene za nekonsolidirane izvještaje, ili nisu popunjene prilikom predaje konsolidiranih izvještaja).</t>
  </si>
  <si>
    <t>M.P.</t>
  </si>
  <si>
    <t>Referentna stranica</t>
  </si>
  <si>
    <t>(potpis osobe ovlaštene za zastupanje)</t>
  </si>
  <si>
    <t>Djelatnosti poslovnih organizacija i organizacija poslodavaca</t>
  </si>
  <si>
    <t>9412</t>
  </si>
  <si>
    <t>Djelatnosti strukovnih članskih organizacija</t>
  </si>
  <si>
    <t>9420</t>
  </si>
  <si>
    <t>Djelatnosti sindikata</t>
  </si>
  <si>
    <t>9491</t>
  </si>
  <si>
    <t>Djelatnosti vjerskih organizacija</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</si>
  <si>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</si>
  <si>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</si>
  <si>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</si>
  <si>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</si>
  <si>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</si>
  <si>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</si>
  <si>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</si>
  <si>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</si>
  <si>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</si>
  <si>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</si>
  <si>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</si>
  <si>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</si>
  <si>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</si>
  <si>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</si>
  <si>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</si>
  <si>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</si>
  <si>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</si>
  <si>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</si>
  <si>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</si>
  <si>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</si>
  <si>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</si>
  <si>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</si>
  <si>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</si>
  <si>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</si>
  <si>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</si>
  <si>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</si>
  <si>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</si>
  <si>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</si>
  <si>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</si>
  <si>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</si>
  <si>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</si>
  <si>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</si>
  <si>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</si>
  <si>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</si>
  <si>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</si>
  <si>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Hladno vučenje žice</t>
  </si>
  <si>
    <t>Proizvodnja osnovnih farmaceutskih proizvoda</t>
  </si>
  <si>
    <t>2120</t>
  </si>
  <si>
    <t>Proizvodnja farmaceutskih pripravaka</t>
  </si>
  <si>
    <t>2211</t>
  </si>
  <si>
    <t>Proizvodnja vanjskih i unutrašnjih guma za vozila; protektiranje vanjskih guma</t>
  </si>
  <si>
    <t>2219</t>
  </si>
  <si>
    <t>Proizvodnja ostalih proizvoda od gume</t>
  </si>
  <si>
    <t>2221</t>
  </si>
  <si>
    <t>Proizvodnja ploča, listova, cijevi i profila od plastike</t>
  </si>
  <si>
    <t>2222</t>
  </si>
  <si>
    <t>Proizvodnja ambalaže od plastike</t>
  </si>
  <si>
    <t>2223</t>
  </si>
  <si>
    <t>IZVJEŠTAJ O NOVČANOM TIJEKU - Indirektna metoda</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</si>
  <si>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</si>
  <si>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</si>
  <si>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</si>
  <si>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</si>
  <si>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</si>
  <si>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</si>
  <si>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</si>
  <si>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</si>
  <si>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</si>
  <si>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</si>
  <si>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</si>
  <si>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</si>
  <si>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</si>
  <si>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</si>
  <si>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</si>
  <si>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</si>
  <si>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</si>
  <si>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</si>
  <si>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</si>
  <si>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</si>
  <si>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</si>
  <si>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</si>
  <si>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</si>
  <si>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</si>
  <si>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1.0.2.</t>
  </si>
  <si>
    <t>Ispravljena pogreška u formuli u AOP oznaci 069 u Računu dobiti i gubitka (trošak vrijednosnog usklađenja se greškom zbrajao a ne oduzimao).</t>
  </si>
  <si>
    <r>
      <t xml:space="preserve">Obveza predaje Bilance i Računa dobiti u gubitka. </t>
    </r>
    <r>
      <rPr>
        <sz val="8"/>
        <color indexed="56"/>
        <rFont val="Arial"/>
        <family val="2"/>
      </rPr>
      <t>Popunjavaju se za sve svrhe predaje, za sve vrste poslovnih subjekata i za sve vrste izvještaja. Izuzetak je vrste izvještaja 32 (početna likvidacijska bilanca) u kojem slučaju se ne popunjava Račun dobiti i gubitka već samo bilanca. Ako ova kontrola nije ispravna znači da: Bilanca i Račun dobiti i gubitka nisu popunjeni ili je kod početne likvidacijske bilance popunjen i račun dobiti i gubitka (a ne treba biti).</t>
    </r>
  </si>
  <si>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</si>
  <si>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</si>
  <si>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</si>
  <si>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</si>
  <si>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</si>
  <si>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</si>
  <si>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</si>
  <si>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</si>
  <si>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Izvještaj o promjenama kapitala</t>
  </si>
  <si>
    <t>Revizorsko izvješće</t>
  </si>
  <si>
    <t>Godišnje izvješće</t>
  </si>
  <si>
    <t>Odluka o raspodjeli dobiti ili pokriću gubitka</t>
  </si>
  <si>
    <t>Odluka o utvrđivanju godišnjeg financijskog izvještaja</t>
  </si>
  <si>
    <t>Popis dokumentacije</t>
  </si>
  <si>
    <t>OPC</t>
  </si>
  <si>
    <t>NAZIV_OPC</t>
  </si>
  <si>
    <t>ZUP</t>
  </si>
  <si>
    <t>Labin</t>
  </si>
  <si>
    <t>Sisak</t>
  </si>
  <si>
    <t>Brinje</t>
  </si>
  <si>
    <t>Lanišće</t>
  </si>
  <si>
    <t>Skrad</t>
  </si>
  <si>
    <t>Brod Moravice</t>
  </si>
  <si>
    <t>Lasinja</t>
  </si>
  <si>
    <t>Skradin</t>
  </si>
  <si>
    <t>Brodski Stupnik</t>
  </si>
  <si>
    <t>Lastovo</t>
  </si>
  <si>
    <t>Slatina</t>
  </si>
  <si>
    <t>Brtonigla</t>
  </si>
  <si>
    <t>GOD_OBR</t>
  </si>
  <si>
    <t>Razdoblje izvještavanja:</t>
  </si>
  <si>
    <t>Proizvodnja dvopeka, keksa i srodnih proizvoda; proizvodnja trajnih peciva, slastičarskih proizvoda i kolača</t>
  </si>
  <si>
    <t>1073</t>
  </si>
  <si>
    <t>Proizvodnja makarona, njoka, kuskusa i slične tjestenine</t>
  </si>
  <si>
    <t>1081</t>
  </si>
  <si>
    <t>Proizvodnja šećera</t>
  </si>
  <si>
    <t>1082</t>
  </si>
  <si>
    <t>Proizvodnja kakao, čokoladnih i bombonskih proizvoda</t>
  </si>
  <si>
    <t>1083</t>
  </si>
  <si>
    <t>Prerada čaja i kave</t>
  </si>
  <si>
    <t>1084</t>
  </si>
  <si>
    <t>Proizvodnja začina i drugih dodataka hrani</t>
  </si>
  <si>
    <t>1085</t>
  </si>
  <si>
    <t>Proizvodnja gotove hrane i jela</t>
  </si>
  <si>
    <t>Sveti Križ Začretje</t>
  </si>
  <si>
    <t>Donji Andrijevci</t>
  </si>
  <si>
    <t>Maruševec</t>
  </si>
  <si>
    <t>Sveti Lovreč</t>
  </si>
  <si>
    <t>Donji Kraljevec</t>
  </si>
  <si>
    <t>Matulji</t>
  </si>
  <si>
    <t>Sveti Martin na Muri</t>
  </si>
  <si>
    <t>Donji Kukuruzari</t>
  </si>
  <si>
    <t>Medulin</t>
  </si>
  <si>
    <t>Ulica i kućni broj:</t>
  </si>
  <si>
    <t>Adresa e-pošte:</t>
  </si>
  <si>
    <t>Internet adresa:</t>
  </si>
  <si>
    <t>Šifra županije:</t>
  </si>
  <si>
    <t>Šifra općine/grada:</t>
  </si>
  <si>
    <t>Šifra NKD-a:</t>
  </si>
  <si>
    <t>Konsolidirani izvještaj:</t>
  </si>
  <si>
    <t>(u prethodnoj godini)</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</si>
  <si>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</si>
  <si>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</si>
  <si>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</si>
  <si>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</si>
  <si>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</si>
  <si>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</si>
  <si>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</si>
  <si>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</si>
  <si>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</si>
  <si>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</si>
  <si>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</si>
  <si>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</si>
  <si>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</si>
  <si>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</si>
  <si>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</si>
  <si>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</si>
  <si>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</si>
  <si>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</si>
  <si>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</si>
  <si>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</si>
  <si>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</si>
  <si>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</si>
  <si>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</si>
  <si>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</si>
  <si>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</si>
  <si>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</si>
  <si>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</si>
  <si>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</si>
  <si>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</si>
  <si>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</si>
  <si>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</si>
  <si>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</si>
  <si>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</si>
  <si>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</si>
  <si>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</si>
  <si>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</si>
  <si>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</si>
  <si>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</si>
  <si>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</si>
  <si>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</si>
  <si>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</si>
  <si>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Kontrole su logički podijeljene u tri dijela, matematičko-logičke (u kojima se kontroliraju međusobni odnosi nekih iznosa u pojedinom obrascu ili unutar dva različita obrasca), kontrole popunjenosti i primjene poslovnih pravila (ove kontrole provjeravaju da li je označena dokumentacija koja se predaje ona koju stvarno treba predati i jesu li svi opći podaci upisani, te popunjenost pojedinih kolona unutar obrazaca - primjerice, ako je kolona prethodne godine popunjena u bilanci, mora biti i u računu dobiti i gubitka i sl.). Treća skupina kontrola su kontrole upozorenja, ove kontrole upozoravaju na neku neobičnost u podacima (primjerice nagli porast ili pad broja zaposlenih od godine do godine) i služe samo kao upozorenje da možda neki podatak nije ispravan, da ga provjerite, ali upisani podatak može biti ispravan.</t>
  </si>
  <si>
    <t xml:space="preserve">Dodatni podaci koji se odnose na Bilancu i Račun dobiti i gubitka predstavljaju raščlambu određenih stavki prema potrebama Službene i EU statistike i logički su vezani na obrasce BAN-BIL i BAN-RDG. </t>
  </si>
  <si>
    <t>Fotografske djelatnosti</t>
  </si>
  <si>
    <t>7430</t>
  </si>
  <si>
    <t>Prevoditeljske djelatnosti i usluge tumača</t>
  </si>
  <si>
    <t>7490</t>
  </si>
  <si>
    <t>Ostale stručne, znanstvene i tehničke djelatnosti, d. n.</t>
  </si>
  <si>
    <t>7500</t>
  </si>
  <si>
    <t>Verzija</t>
  </si>
  <si>
    <t>Opis promjene u odnosu na prethodnu verziju</t>
  </si>
  <si>
    <t>Gradnja vodnih građevina</t>
  </si>
  <si>
    <t>4299</t>
  </si>
  <si>
    <t>Gradnja ostalih građevina niskogradnje, d. n.</t>
  </si>
  <si>
    <t>4311</t>
  </si>
  <si>
    <t>Hrvatska Dubica</t>
  </si>
  <si>
    <t>Petrovsko</t>
  </si>
  <si>
    <t>Vodnjan</t>
  </si>
  <si>
    <t>Hrvatska Kostajnica</t>
  </si>
  <si>
    <t>Pićan</t>
  </si>
  <si>
    <t>Vođinci</t>
  </si>
  <si>
    <t>Hum Na Sutli</t>
  </si>
  <si>
    <t>Pirovac</t>
  </si>
  <si>
    <t>Vojnić</t>
  </si>
  <si>
    <t>Hvar</t>
  </si>
  <si>
    <t>Pisarovina</t>
  </si>
  <si>
    <t>Vratišinec</t>
  </si>
  <si>
    <t>Ilok</t>
  </si>
  <si>
    <t>Pitomača</t>
  </si>
  <si>
    <t>Proizvodnja filmova, videofilmova i televizijskog programa</t>
  </si>
  <si>
    <t>Gradski i prigradski kopneni prijevoz putnika</t>
  </si>
  <si>
    <t>4932</t>
  </si>
  <si>
    <t>Taksi služba</t>
  </si>
  <si>
    <t>4939</t>
  </si>
  <si>
    <t>Ostali kopneni prijevoz putnika, d. n.</t>
  </si>
  <si>
    <t>4941</t>
  </si>
  <si>
    <t>Cestovni prijevoz robe</t>
  </si>
  <si>
    <t>4942</t>
  </si>
  <si>
    <t>Usluge preseljenja</t>
  </si>
  <si>
    <t>4950</t>
  </si>
  <si>
    <t>Cjevovodni transport</t>
  </si>
  <si>
    <t>5010</t>
  </si>
  <si>
    <t>Pomorski i obalni prijevoz putnika</t>
  </si>
  <si>
    <t>5020</t>
  </si>
  <si>
    <t>Pomorski i obalni prijevoz robe</t>
  </si>
  <si>
    <t>5030</t>
  </si>
  <si>
    <t>Prijevoz putnika unutrašnjim vodenim putovima</t>
  </si>
  <si>
    <t>5040</t>
  </si>
  <si>
    <t>Proizvodnja proizvoda od gipsa za građevinarstvo</t>
  </si>
  <si>
    <t>2363</t>
  </si>
  <si>
    <t>Proizvodnja gotove betonske smjese</t>
  </si>
  <si>
    <t>2364</t>
  </si>
  <si>
    <t>Proizvodnja žbuke</t>
  </si>
  <si>
    <t>2365</t>
  </si>
  <si>
    <t>Proizvodnja fibro-cementa</t>
  </si>
  <si>
    <t>2369</t>
  </si>
  <si>
    <t xml:space="preserve">Proizvodnja ostalih proizvoda od betona, cementa i gipsa </t>
  </si>
  <si>
    <t>2370</t>
  </si>
  <si>
    <t>Rezanje, oblikovanje i obrada kamena</t>
  </si>
  <si>
    <t>2391</t>
  </si>
  <si>
    <t>Proizvodnja brusnih proizvoda</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</si>
  <si>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</si>
  <si>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</si>
  <si>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</si>
  <si>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</si>
  <si>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</si>
  <si>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</si>
  <si>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</si>
  <si>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</si>
  <si>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</si>
  <si>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</si>
  <si>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</si>
  <si>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</si>
  <si>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</si>
  <si>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 xml:space="preserve">       c) Prihodi od naknada za usluge platnog prometa i ostale bankovne usluge 
           državnim jedinicama</t>
  </si>
  <si>
    <t xml:space="preserve">       d) Prihodi od naknada za usluge platnog prometa i ostale bankovne usluge 
            neprofitnim institucijama</t>
  </si>
  <si>
    <t xml:space="preserve">       f) Prihodi od naknada za usluge platnog prometa i ostale bankovne usluge 
           stranim osobama</t>
  </si>
  <si>
    <t xml:space="preserve">  41. Izdaci za bruto autorske honorare i ugovore o djelu samo za fizičke osobe 
         koje nemaju registriranu djelatnost</t>
  </si>
  <si>
    <t xml:space="preserve">       e) Prihodi od naknada za usluge platnog prometa i ostale bankovne usluge 
            stanovništvu</t>
  </si>
  <si>
    <t>Vrsta posla: 581</t>
  </si>
  <si>
    <t>Uklanjanje građevina</t>
  </si>
  <si>
    <t>4312</t>
  </si>
  <si>
    <t>Pripremni radovi na gradilištu</t>
  </si>
  <si>
    <t>4313</t>
  </si>
  <si>
    <t>Pokusno bušenje i sondiranje terena za gradnju</t>
  </si>
  <si>
    <t>4321</t>
  </si>
  <si>
    <t>Elektroinstalacijski radovi</t>
  </si>
  <si>
    <t>4322</t>
  </si>
  <si>
    <t xml:space="preserve">Uvođenje instalacija vodovoda, kanalizacije i plina i instalacija za grijanje i klimatizaciju </t>
  </si>
  <si>
    <t>4329</t>
  </si>
  <si>
    <t>Ostali građevinski instalacijski radovi</t>
  </si>
  <si>
    <t>4331</t>
  </si>
  <si>
    <t>Fasadni i štukaturski radovi</t>
  </si>
  <si>
    <t>4332</t>
  </si>
  <si>
    <t>Ugradnja stolarije</t>
  </si>
  <si>
    <t>4333</t>
  </si>
  <si>
    <t>Postavljanje podnih i zidnih obloga</t>
  </si>
  <si>
    <t>4334</t>
  </si>
  <si>
    <t>Soboslikarski i staklarski radovi</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</si>
  <si>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</si>
  <si>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</si>
  <si>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</si>
  <si>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</si>
  <si>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</si>
  <si>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</si>
  <si>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</si>
  <si>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</si>
  <si>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</si>
  <si>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 xml:space="preserve">       1.5. Dobit/gubitak od prodaje materijalne imovine</t>
  </si>
  <si>
    <t xml:space="preserve">       1.6. Ostali dobici / gubici </t>
  </si>
  <si>
    <t xml:space="preserve">      2.5. Vrijednosni papiri i drugi financijski instrumenti koji se drže radi
              trgovanja</t>
  </si>
  <si>
    <t xml:space="preserve">      2.7. Vrijednosni papiri i drugi financijski instrumenti kojima se aktivno 
              ne trguje, a vrednuju se prema fer vrijednosti kroz RDG</t>
  </si>
  <si>
    <t xml:space="preserve"> 11. Neto povećanje / smanjenje gotovine i ekvivalenata gotovine (038+039)</t>
  </si>
  <si>
    <t>Ispravljena pogreška u prenošenju vrijednosti na list za učitavanje AOP oznaka 38 i 39 (obrasci kod kojih su AOP 038 i '39 bili popunjeni u koloni prethodne godine javljali su pogrešku u HASH-u.</t>
  </si>
  <si>
    <t>1.0.3.</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</si>
  <si>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</si>
  <si>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</si>
  <si>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</si>
  <si>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</si>
  <si>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</si>
  <si>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</si>
  <si>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</si>
  <si>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</si>
  <si>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</si>
  <si>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</si>
  <si>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</si>
  <si>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</si>
  <si>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</si>
  <si>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</si>
  <si>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</si>
  <si>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</si>
  <si>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</si>
  <si>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</si>
  <si>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</si>
  <si>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</si>
  <si>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</si>
  <si>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</si>
  <si>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</si>
  <si>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</si>
  <si>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</si>
  <si>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</si>
  <si>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</si>
  <si>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</si>
  <si>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</si>
  <si>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</si>
  <si>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Slatkovodna akvakultura</t>
  </si>
  <si>
    <t>0510</t>
  </si>
  <si>
    <t>Vađenje kamenog ugljena</t>
  </si>
  <si>
    <t>0520</t>
  </si>
  <si>
    <t xml:space="preserve">  17. Namještaj, transportni uređaji i slična imovina (bruto)</t>
  </si>
  <si>
    <t xml:space="preserve">        17.1. u tome: osobni automobili (bruto)</t>
  </si>
  <si>
    <t xml:space="preserve">  18. Namještaj, transportni uređaji i slična imovina (neto)</t>
  </si>
  <si>
    <t>Proizvodnja strojeva za rudnike, kamenolome i građevinarstvo</t>
  </si>
  <si>
    <t>2893</t>
  </si>
  <si>
    <t>KTR_LISTAMB</t>
  </si>
  <si>
    <t xml:space="preserve">2.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</si>
  <si>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</si>
  <si>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</si>
  <si>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</si>
  <si>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</si>
  <si>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</si>
  <si>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</si>
  <si>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</si>
  <si>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</si>
  <si>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</si>
  <si>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</si>
  <si>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</si>
  <si>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</si>
  <si>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</si>
  <si>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</si>
  <si>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</si>
  <si>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</si>
  <si>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</si>
  <si>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</si>
  <si>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</si>
  <si>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Problemi s Excel datotekom mogu nastati i ako Excel datoteku popunjavate direktno iz računovodstvenog programa ili nekog drugog vanjskog programa, koji zbog same tehnike popunjavanja može u sva polja "ugurati" iznose i podatke koji ne zadovoljavaju ograničenja i uvjete nad podacima. U takvom slučaju, ako Excel datoteku popunjavate programski, treba više pozornosti obratiti vizuelnoj kontroli podataka. Izvještaj u Excelu popunjen nekim vanjskim programom obavezno treba otvoriti u Excel-u te, čak i ako niste ništa od podataka promijenili, ponovo snimite Excel datoteku, kako biste bili sigurni da su se svi izračuni unutar datoteke odradili ispravno.</t>
  </si>
  <si>
    <r>
      <t xml:space="preserve">Obvezna polja prilikom popunjavanja općih podataka su: vrsta izvještaja, OIB, matični broj, matični broj sudskog registra (obavezan unos ako je svrha predaje javna objava), naziv, poštanski broj, mjesto, adresa, šifre općine, NKD-a, oznaka konsolidacije, </t>
    </r>
    <r>
      <rPr>
        <sz val="8"/>
        <rFont val="Arial"/>
        <family val="2"/>
      </rPr>
      <t>obveza revizije</t>
    </r>
    <r>
      <rPr>
        <sz val="8"/>
        <color indexed="56"/>
        <rFont val="Arial"/>
        <family val="2"/>
      </rPr>
      <t>, godina obrasca, šifra svrhe predaje, postotci porijekla kapitala (domaćeg i stranog), broj zaposlenih, brojevi mjeseci poslovanja, oznake DA/NE na popisu dokumentacije, osoba za kontaktiranje te broj telefona za kontakt, prezime i ime osobe ovlaštene za zastupanje.</t>
    </r>
  </si>
  <si>
    <t xml:space="preserve">  19. Stambene zgrade i stanovi (bruto)</t>
  </si>
  <si>
    <t xml:space="preserve">  20. Stambene zgrade i stanovi (neto)</t>
  </si>
  <si>
    <t xml:space="preserve">  21. Ostala materijalna imovina (bruto)</t>
  </si>
  <si>
    <t xml:space="preserve">  22. Ostala materijalna imovina (neto)</t>
  </si>
  <si>
    <t xml:space="preserve">  23. Zalihe (bruto)</t>
  </si>
  <si>
    <t xml:space="preserve">  24. Zalihe (neto)</t>
  </si>
  <si>
    <t>Materijalna imovina bruto (088+090+092+096+100+102+104)</t>
  </si>
  <si>
    <t>Materijalna imovina neto (089+091+094+098+101+103+105)</t>
  </si>
  <si>
    <t>PRIMLJENI KREDITI (AOP 109+114)</t>
  </si>
  <si>
    <t xml:space="preserve">  25. Primljeni krediti - kratkoročni: (AOP 110 do 113)</t>
  </si>
  <si>
    <t xml:space="preserve">        a) Krediti od trgovačkih društava</t>
  </si>
  <si>
    <t xml:space="preserve">        b) Krediti od financijskih institucija</t>
  </si>
  <si>
    <t xml:space="preserve">        c) Krediti od državnih jedinica</t>
  </si>
  <si>
    <t xml:space="preserve">        d) Krediti od stranih osoba</t>
  </si>
  <si>
    <t xml:space="preserve">  26. Primljeni krediti-dugoročni ( 115 do 118)</t>
  </si>
  <si>
    <t>KAMATNI PRIHODI OD NADOKNADIVIH I DJELOMIČNO NADOKNADIVIH PLASMANA</t>
  </si>
  <si>
    <t xml:space="preserve">  27. Kamatni prihodi od odobrenih kredita (120 do 125)</t>
  </si>
  <si>
    <t xml:space="preserve">       a) Prihodi od kredita državnim jedinicama</t>
  </si>
  <si>
    <t xml:space="preserve">       b) Prihodi od kredita odobrenih financijskim institucijama</t>
  </si>
  <si>
    <t xml:space="preserve">       c) Prihodi od kredita odobrenih trgovačkim društvima</t>
  </si>
  <si>
    <t xml:space="preserve">       d) Prihodi od kredita odobrenih neprofitnim institucijama</t>
  </si>
  <si>
    <t xml:space="preserve">       e) Prihodi od kredita odobrenih stanovništvu</t>
  </si>
  <si>
    <t xml:space="preserve">       f) Prihodi od kredita odobrenih stranim osobama</t>
  </si>
  <si>
    <t xml:space="preserve">  28. Kamatni prihodi od depozita (127 do 129)</t>
  </si>
  <si>
    <t xml:space="preserve">       a) Depoziti kod HNB-a</t>
  </si>
  <si>
    <t xml:space="preserve">       b) Depoziti kod financijskih institucija</t>
  </si>
  <si>
    <t xml:space="preserve">       c) Depoziti  kod stranih financijskih institucija</t>
  </si>
  <si>
    <t xml:space="preserve">  29. Kamatni prihodi od dužničkih vrijednosnih papira (131 do 136)</t>
  </si>
  <si>
    <t xml:space="preserve">       a) Blagajnički zapisi HNB-a</t>
  </si>
  <si>
    <t xml:space="preserve">       b) Dužnički vrijednosni papiri trgovačkih društava</t>
  </si>
  <si>
    <t xml:space="preserve">       c) Dužnički vrijednosni papiri financijskih institucija</t>
  </si>
  <si>
    <t xml:space="preserve">       d) Dužnički vrijednosni papiri Republike Hrvatske</t>
  </si>
  <si>
    <t xml:space="preserve">       e) Dužnički vrijednosni papiri ostalih državnih jedinica</t>
  </si>
  <si>
    <t xml:space="preserve">       f)  Dužnički vrijednosni papiri stranih osoba</t>
  </si>
  <si>
    <t xml:space="preserve">  30. Prihodi od naknada za usluge platnog prometa i ostale bankovne usluge 
       (138 do 143)</t>
  </si>
  <si>
    <t>17. Ostali prihodi</t>
  </si>
  <si>
    <t>18. Ostali troškovi</t>
  </si>
  <si>
    <t>19. Opći administrativni troškovi i amortizacija</t>
  </si>
  <si>
    <t>21. Troškovi vrijednosnih usklađivanja i rezerviranja za gubitke</t>
  </si>
  <si>
    <t>23. POREZ NA DOBIT</t>
  </si>
  <si>
    <t>25. Zarada po dionici</t>
  </si>
  <si>
    <r>
      <t>Obrazac</t>
    </r>
    <r>
      <rPr>
        <b/>
        <sz val="10"/>
        <color indexed="18"/>
        <rFont val="Arial"/>
        <family val="2"/>
      </rPr>
      <t xml:space="preserve">
</t>
    </r>
    <r>
      <rPr>
        <b/>
        <sz val="12"/>
        <color indexed="18"/>
        <rFont val="Arial Black"/>
        <family val="2"/>
      </rPr>
      <t>BAN-BIL</t>
    </r>
  </si>
  <si>
    <r>
      <t>Obrazac</t>
    </r>
    <r>
      <rPr>
        <b/>
        <sz val="10"/>
        <color indexed="18"/>
        <rFont val="Arial"/>
        <family val="2"/>
      </rPr>
      <t xml:space="preserve">
</t>
    </r>
    <r>
      <rPr>
        <b/>
        <sz val="12"/>
        <color indexed="18"/>
        <rFont val="Arial Black"/>
        <family val="2"/>
      </rPr>
      <t>BAN-RDG</t>
    </r>
  </si>
  <si>
    <t>DODATAK RAČUNU DOBITI I GUBITKA (popunjavju banke koje sastavljaju konsolidirani godišnji financijski izvještaj)</t>
  </si>
  <si>
    <t xml:space="preserve">1. DOBIT / GUBITAK TEKUĆE GODINE </t>
  </si>
  <si>
    <t>2. Pripisana dioničarima matičnog društva</t>
  </si>
  <si>
    <t>22. DOBIT / GUBITAK PRIJE OPOREZIVANJA (067-068)</t>
  </si>
  <si>
    <t>24. DOBIT / GUBITAK TEKUĆE GODINE (069-070)</t>
  </si>
  <si>
    <t xml:space="preserve">  7. Dobit / gubitak od ulaganja u podružnice, pridružena društva i 
       zajedničke poduhvate</t>
  </si>
  <si>
    <t>Oznaka vlasništva:</t>
  </si>
  <si>
    <t>Državno vlasništvo (javno, komunalno i slično)</t>
  </si>
  <si>
    <t>Državno u procesu pretvorbe</t>
  </si>
  <si>
    <t>Državno, pretvorba još nije započela</t>
  </si>
  <si>
    <t>3030</t>
  </si>
  <si>
    <t>Proizvodnja zrakoplova i svemirskih letjelica te srodnih prijevoznih sredstava i opreme</t>
  </si>
  <si>
    <t>3040</t>
  </si>
  <si>
    <t>Proizvodnja vojnih borbenih vozila</t>
  </si>
  <si>
    <t>3091</t>
  </si>
  <si>
    <t>Proizvodnja motocikala</t>
  </si>
  <si>
    <t>3092</t>
  </si>
  <si>
    <t>Obrada podataka, usluge poslužitelja i djelatnosti povezane s njima</t>
  </si>
  <si>
    <t>6312</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</si>
  <si>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</si>
  <si>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</si>
  <si>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</si>
  <si>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</si>
  <si>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</si>
  <si>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</si>
  <si>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</si>
  <si>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</si>
  <si>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</si>
  <si>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</si>
  <si>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</si>
  <si>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</si>
  <si>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</si>
  <si>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</si>
  <si>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</si>
  <si>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</si>
  <si>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Proizvodnja keramičkih pločica i ploča</t>
  </si>
  <si>
    <t>2332</t>
  </si>
  <si>
    <t>Proizvodnja opeke, crijepa i ostalih proizvoda od pečene gline za građevinarstvo</t>
  </si>
  <si>
    <t>2341</t>
  </si>
  <si>
    <t>Lijevanje čelika</t>
  </si>
  <si>
    <t>2453</t>
  </si>
  <si>
    <t>Lijevanje lakih metala</t>
  </si>
  <si>
    <t>2454</t>
  </si>
  <si>
    <t>Lijevanje ostalih obojenih metala</t>
  </si>
  <si>
    <t>2511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</si>
  <si>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</si>
  <si>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</si>
  <si>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</si>
  <si>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</si>
  <si>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</si>
  <si>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</si>
  <si>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</si>
  <si>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</si>
  <si>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</si>
  <si>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</si>
  <si>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</si>
  <si>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</si>
  <si>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</si>
  <si>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</si>
  <si>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</si>
  <si>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</si>
  <si>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</si>
  <si>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</si>
  <si>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</si>
  <si>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</si>
  <si>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</si>
  <si>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</si>
  <si>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</si>
  <si>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</si>
  <si>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</si>
  <si>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</si>
  <si>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</si>
  <si>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</si>
  <si>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</si>
  <si>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</si>
  <si>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</si>
  <si>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</si>
  <si>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Trgovina na malo motornim gorivima i mazivima u specijaliziranim prodavaonicama</t>
  </si>
  <si>
    <t>4741</t>
  </si>
  <si>
    <t>1.0.5.</t>
  </si>
  <si>
    <t>Uvedeno polje OIB revizora ili revizorskog društva. Dodana pomoć za izračun naknade za javnu objavu GFI-a. Dodana je kontrola na tip datoteke</t>
  </si>
  <si>
    <r>
      <t xml:space="preserve">Pogrešan tip datoteke. </t>
    </r>
    <r>
      <rPr>
        <sz val="8"/>
        <color indexed="56"/>
        <rFont val="Arial"/>
        <family val="2"/>
      </rPr>
      <t>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r>
  </si>
  <si>
    <r>
      <t xml:space="preserve">Korisnici </t>
    </r>
    <r>
      <rPr>
        <b/>
        <sz val="8"/>
        <color indexed="10"/>
        <rFont val="Arial"/>
        <family val="2"/>
      </rPr>
      <t>Open Office-a</t>
    </r>
    <r>
      <rPr>
        <sz val="8"/>
        <color indexed="56"/>
        <rFont val="Arial"/>
        <family val="2"/>
      </rPr>
      <t xml:space="preserve"> prilikom popunjavanja obrasca moraju obratiti pozornost na nekoliko stvari. Najveći problem su datumi popunjavanja koji OpenOffice automatski konvertira u svoj format GGGG.MM.DD. i svaka nakdnadna koverzija u standardni hrvatski format (DD.MM.GGGG.) zna biti problematična. Isto tako, OpenOffice ne podržava konverziju nekih tekstualnih vrijednosti u broj i pri tome krivo računa kontrolni broj. Jedini način da se u OpenOffice-u dobro popuni obrazac je da se svi podaci osim datuma razdoblja unesu u OpenOffice-u, a da se završne radnje (upis datuma te izbor godine i ispis referentne stranice) ipak naprave u Excelu. Dakle, svi oni koji na vlastitom računalu imaju samo OpenOffice, trebali bi nakon popunjavanja obrasca prenijeti Excel datoteku na računalo koje ima Excel, otvoriti je u Excel-u, tamo upisati datume razdoblja te tamo isprintati referentnu stranicu i tamo završno snimiti datoteku za predaju. Ovi nedostaci nisu nedostaci Excel datoteke nego nemogućnosti OpenOfficea da podrži baš sve mogućnosti Excel-a potrebne za ispravno popunjavanje ove datoteke.</t>
    </r>
  </si>
  <si>
    <t>Bez obzira na verziju Office-a i Excel-a koji koristite za popunjavanje obrazaca uvijek obrasce ispunjavajte s instaliranim zadnjim Service Packom (nadogradnjom) koja je izašla za tu verziju Office-a i Excel-a. Tako ćete maksimalno smanjiti mogućnost da neki upisani podatak bude krivo interpretiran ili da neki izračun ne bude ispravan.</t>
  </si>
  <si>
    <r>
      <t xml:space="preserve">Obrazac </t>
    </r>
    <r>
      <rPr>
        <b/>
        <sz val="8"/>
        <color indexed="56"/>
        <rFont val="Arial"/>
        <family val="2"/>
      </rPr>
      <t>Dodatni podaci</t>
    </r>
    <r>
      <rPr>
        <sz val="8"/>
        <color indexed="56"/>
        <rFont val="Arial"/>
        <family val="2"/>
      </rPr>
      <t xml:space="preserve"> popunjava se ako se izvještaj predaje za statističke svrhe (bez obzira predaje li se samo za potrebe statistike ili ujedno služi i za potrebe javne objave). Dodatni podaci predaje se samo uz vrste izvještaja 10, 11, 20, 30. </t>
    </r>
    <r>
      <rPr>
        <b/>
        <sz val="8"/>
        <color indexed="56"/>
        <rFont val="Arial"/>
        <family val="2"/>
      </rPr>
      <t>Ostale vrste izvještaja ne mogu se predavati u statističke svrhe</t>
    </r>
    <r>
      <rPr>
        <sz val="8"/>
        <color indexed="56"/>
        <rFont val="Arial"/>
        <family val="2"/>
      </rPr>
      <t>. Kontrola je neispravna ako Dodatni podaci nisu popunjeni, a trebaju biti; ako su upisani, a predaja je samo u svrhu javne objave ili ako su neke kolone (prethodna i tekuća godina) popunjene u Bilanci a nisu u Dodatnim podacima i obratno.</t>
    </r>
  </si>
  <si>
    <t>9. Oznaka vrste izvještaja unosi se na sljedeći način:
    10 - izvještaj koji ispunjava obveznik kojem  je kalendarska godina jednaka poslovnoj godini i kod koje u godini za koju se izvještaj podnosi nije bilo
           statusnih promjena, stečaja ili likvidacije
    11 - izvještaj koji ispunjava obveznik kojem se poslovna godina razlikuje od kalendarske (samo ona banka  koja je dobila rješenje Porezne uprave, 
           a ne i ona koja je počela poslovati tijekom godine te joj je broj mjeseci poslovanja manji od 12)
    20 - izvještaj koji ispunjava obveznik u stečaju
    21 - izvještaj koji sastavlja obveznik za razdoblje od početka godine do dana koji prethodi danu pokretanja stečajnog postupka
    30 - izvještaj koji ispunjava obveznik u likvidaciji
    31 - izvještaj koji sastavlja obveznik za razdoblje od početka godine do dana koji prethodi danu početka likvidacijskog postupka
    32 - izvještaj koji sastavlja obveznik nad kojim je tijekom poslovne godine otvoren likvidacijski postupak (početni likvidacijski izvještaj)
    40 - izvještaj koji sastavlja obveznik koji zbog statusnih promjena gubi pravnu osobnost.</t>
  </si>
  <si>
    <t>U nastavku su dane upute za ispunjavanje dodatnih podataka (obrazac BanDop)</t>
  </si>
  <si>
    <r>
      <t>Opći podaci</t>
    </r>
    <r>
      <rPr>
        <sz val="8"/>
        <color indexed="56"/>
        <rFont val="Arial"/>
        <family val="2"/>
      </rPr>
      <t xml:space="preserve"> (podaci iz zaglavlja izvještaja te neki dodatni opći podaci) upisuju se na radni list Opci, koji ujedno služi i kao referentna stranica. Osim osnovnih podataka o obvezniku, na radnom listu Opci treba označiti i koju dokumentaciju prilažete uz Excel datoteku. Koju su sve dokumentaciju obveznici dužni predati ovisi o: </t>
    </r>
    <r>
      <rPr>
        <b/>
        <sz val="8"/>
        <color indexed="56"/>
        <rFont val="Arial"/>
        <family val="2"/>
      </rPr>
      <t>svrsi predaje</t>
    </r>
    <r>
      <rPr>
        <sz val="8"/>
        <color indexed="56"/>
        <rFont val="Arial"/>
        <family val="2"/>
      </rPr>
      <t xml:space="preserve">, </t>
    </r>
    <r>
      <rPr>
        <b/>
        <sz val="8"/>
        <color indexed="56"/>
        <rFont val="Arial"/>
        <family val="2"/>
      </rPr>
      <t>vrsti izvještaja, obvezi revizije</t>
    </r>
    <r>
      <rPr>
        <sz val="8"/>
        <color indexed="56"/>
        <rFont val="Arial"/>
        <family val="2"/>
      </rPr>
      <t xml:space="preserve"> te je li izvještaj </t>
    </r>
    <r>
      <rPr>
        <b/>
        <sz val="8"/>
        <color indexed="56"/>
        <rFont val="Arial"/>
        <family val="2"/>
      </rPr>
      <t>konsolidiran.</t>
    </r>
  </si>
  <si>
    <r>
      <t xml:space="preserve">Kontrola na </t>
    </r>
    <r>
      <rPr>
        <b/>
        <sz val="8"/>
        <color indexed="56"/>
        <rFont val="Arial"/>
        <family val="2"/>
      </rPr>
      <t>datum od</t>
    </r>
    <r>
      <rPr>
        <sz val="8"/>
        <color indexed="56"/>
        <rFont val="Arial"/>
        <family val="2"/>
      </rPr>
      <t xml:space="preserve"> i </t>
    </r>
    <r>
      <rPr>
        <b/>
        <sz val="8"/>
        <color indexed="56"/>
        <rFont val="Arial"/>
        <family val="2"/>
      </rPr>
      <t>datum do</t>
    </r>
    <r>
      <rPr>
        <sz val="8"/>
        <color indexed="56"/>
        <rFont val="Arial"/>
        <family val="2"/>
      </rPr>
      <t xml:space="preserve"> te na </t>
    </r>
    <r>
      <rPr>
        <b/>
        <sz val="8"/>
        <color indexed="56"/>
        <rFont val="Arial"/>
        <family val="2"/>
      </rPr>
      <t>broj mjeseci poslovanja</t>
    </r>
    <r>
      <rPr>
        <sz val="8"/>
        <color indexed="56"/>
        <rFont val="Arial"/>
        <family val="2"/>
      </rPr>
      <t xml:space="preserve">. Broj mjeseci poslovanja ni u jednoj godini ne može biti veći od 12. Isto tako, broj mjeseci poslovanja u tekućoj godini mora odgovarati trajanju razdoblja datuma od i datuma do Računa dobiti u gubitka (za tekuću godinu). Za sve izvještaje osim onih s oznakom vrste izvještaja 32 (početno likvidacijsko izvješće) broj mjeseci poslovanja u prethodnoj godini mora biti veći od nule ako postoje podaci za prethodnu godinu, isto tako za tekuću. Kod vrste izvještaja 32 datum od i datum do razdoblja moraju biti identični, a broj mjeseci poslovanja 0. Kolona prethodne godine kod vrste izvještaja 32 ne smije biti popunjena. Vrsta izvještaja 10 ne može imati završni datum drugačiji od 31.12. Vrsta izvještaja 11 kod predaje za javnu objavu ne može imati završni datum 31.12., ali za kod predaje za statistiku mora imati 31.12. </t>
    </r>
  </si>
  <si>
    <t>Beli Manastir</t>
  </si>
  <si>
    <t>Veterinarske djelatnosti</t>
  </si>
  <si>
    <t>7711</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</si>
  <si>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</si>
  <si>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</si>
  <si>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</si>
  <si>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</si>
  <si>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</si>
  <si>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</si>
  <si>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Iznajmljivanje videokaseta i diskova</t>
  </si>
  <si>
    <t>7729</t>
  </si>
  <si>
    <t>Iznajmljivanje i davanje u zakup (leasing) ostalih predmeta za osobnu uporabu i kućanstvo</t>
  </si>
  <si>
    <t>7731</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</si>
  <si>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</si>
  <si>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</si>
  <si>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</si>
  <si>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</si>
  <si>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</si>
  <si>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</si>
  <si>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</si>
  <si>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</si>
  <si>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</si>
  <si>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</si>
  <si>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</si>
  <si>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Rastavljanje olupina</t>
  </si>
  <si>
    <t>3832</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</si>
  <si>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</si>
  <si>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</si>
  <si>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</si>
  <si>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</si>
  <si>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</si>
  <si>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</si>
  <si>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</si>
  <si>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</si>
  <si>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</si>
  <si>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</si>
  <si>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</si>
  <si>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</si>
  <si>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</si>
  <si>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</si>
  <si>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</si>
  <si>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</si>
  <si>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</si>
  <si>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</si>
  <si>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</si>
  <si>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</si>
  <si>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</si>
  <si>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</si>
  <si>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</si>
  <si>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</si>
  <si>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</si>
  <si>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</si>
  <si>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</si>
  <si>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</si>
  <si>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</si>
  <si>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</si>
  <si>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</si>
  <si>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</si>
  <si>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</si>
  <si>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</si>
  <si>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</si>
  <si>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</si>
  <si>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</si>
  <si>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</si>
  <si>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</si>
  <si>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</si>
  <si>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</si>
  <si>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</si>
  <si>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</si>
  <si>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</si>
  <si>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</si>
  <si>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</si>
  <si>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r>
      <t xml:space="preserve">Evidencijski broj
</t>
    </r>
    <r>
      <rPr>
        <sz val="7"/>
        <rFont val="Arial"/>
        <family val="2"/>
      </rPr>
      <t>(popunjava Registar)</t>
    </r>
  </si>
  <si>
    <t>Trezorske dionice</t>
  </si>
  <si>
    <r>
      <t>Odluka o utvrđivanju godišnjeg izvještaja</t>
    </r>
    <r>
      <rPr>
        <sz val="8"/>
        <color indexed="56"/>
        <rFont val="Arial"/>
        <family val="2"/>
      </rPr>
      <t xml:space="preserve"> predaje se uz izvještaje s oznakom vrste izvještaja 10 i 11 - ako je svrha predaje javna objava. Kod vrsta izvještaja 20 i 30 odluka se može predati ali i ne mora (zavisi od stečajnog ili likvidacijskog upravitelja).</t>
    </r>
  </si>
  <si>
    <t>God</t>
  </si>
  <si>
    <t>BanDop</t>
  </si>
  <si>
    <t>Banke/štedionice koje predaju konsolidirani financijski izvještaj, dužne su uz izvještaj dostaviti popis subjekata konsolidacije. Udio u vlasništvu unosi se kao zaokružen cijeli broj, a označava postotak vlasništva (ne može biti veći od 100). Ako je udio u vlasništvu definiran na drugačiji način, a ne kao postotak udjela, potrebno je izračunati koliko je to iznosilo u postotku na zadnji dan razdoblja izvještavanja.</t>
  </si>
  <si>
    <t>Privatno od osnivanja</t>
  </si>
  <si>
    <t>Privatno nakon pretvorbe</t>
  </si>
  <si>
    <t>Kaptol</t>
  </si>
  <si>
    <t>Preko</t>
  </si>
  <si>
    <t>Zmijavci</t>
  </si>
  <si>
    <t>Karlobag</t>
  </si>
  <si>
    <t>Prelog</t>
  </si>
  <si>
    <t>Navigacija kroz Excel datoteku, List --&gt;</t>
  </si>
  <si>
    <t>Bilanca</t>
  </si>
  <si>
    <t>Novosti</t>
  </si>
  <si>
    <t>Kontrole</t>
  </si>
  <si>
    <t>KNTRLISTE</t>
  </si>
  <si>
    <t>KTR_BROJ</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</si>
  <si>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</si>
  <si>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</si>
  <si>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</si>
  <si>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</si>
  <si>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</si>
  <si>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</si>
  <si>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</si>
  <si>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</si>
  <si>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Proizvodnja piva</t>
  </si>
  <si>
    <t>1106</t>
  </si>
  <si>
    <t>Proizvodnja slada</t>
  </si>
  <si>
    <t>1107</t>
  </si>
  <si>
    <t>Proizvodnja osvježavajućih napitaka; proizvodnja mineralne i drugih flaširanih voda</t>
  </si>
  <si>
    <t>1200</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</si>
  <si>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</si>
  <si>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</si>
  <si>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</si>
  <si>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</si>
  <si>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</si>
  <si>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</si>
  <si>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</si>
  <si>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</si>
  <si>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Proizvodnja motornih vozila</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</si>
  <si>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</si>
  <si>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</si>
  <si>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</si>
  <si>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</si>
  <si>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</si>
  <si>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</si>
  <si>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</si>
  <si>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</si>
  <si>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</si>
  <si>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</si>
  <si>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</si>
  <si>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</si>
  <si>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Agencije za promidžbu (reklamu i propagandu)</t>
  </si>
  <si>
    <t>7312</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</si>
  <si>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</si>
  <si>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</si>
  <si>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</si>
  <si>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</si>
  <si>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</si>
  <si>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</si>
  <si>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</si>
  <si>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</si>
  <si>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</si>
  <si>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</si>
  <si>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</si>
  <si>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</si>
  <si>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</si>
  <si>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</si>
  <si>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</si>
  <si>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</si>
  <si>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</si>
  <si>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</si>
  <si>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</si>
  <si>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</si>
  <si>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</si>
  <si>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</si>
  <si>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</si>
  <si>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</si>
  <si>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</si>
  <si>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</si>
  <si>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</si>
  <si>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</si>
  <si>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</si>
  <si>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</si>
  <si>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</si>
  <si>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</si>
  <si>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</si>
  <si>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</si>
  <si>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</si>
  <si>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</si>
  <si>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</si>
  <si>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</si>
  <si>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</si>
  <si>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</si>
  <si>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</si>
  <si>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</si>
  <si>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</si>
  <si>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</si>
  <si>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</si>
  <si>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</si>
  <si>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</si>
  <si>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</si>
  <si>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</si>
  <si>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</si>
  <si>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</si>
  <si>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</si>
  <si>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</si>
  <si>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</si>
  <si>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</si>
  <si>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</si>
  <si>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</si>
  <si>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</si>
  <si>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</si>
  <si>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</si>
  <si>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</si>
  <si>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</si>
  <si>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</si>
  <si>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</si>
  <si>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</si>
  <si>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</si>
  <si>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</si>
  <si>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</si>
  <si>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</si>
  <si>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</si>
  <si>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0111</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</si>
  <si>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</si>
  <si>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</si>
  <si>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</si>
  <si>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</si>
  <si>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</si>
  <si>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</si>
  <si>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</si>
  <si>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</si>
  <si>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</si>
  <si>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</si>
  <si>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</si>
  <si>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</si>
  <si>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</si>
  <si>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</si>
  <si>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</si>
  <si>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</si>
  <si>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</si>
  <si>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</si>
  <si>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</si>
  <si>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</si>
  <si>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</si>
  <si>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</si>
  <si>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</si>
  <si>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</si>
  <si>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</si>
  <si>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</si>
  <si>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</si>
  <si>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</si>
  <si>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</si>
  <si>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</si>
  <si>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</si>
  <si>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</si>
  <si>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</si>
  <si>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</si>
  <si>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</si>
  <si>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</si>
  <si>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Proizvodnja sječiva</t>
  </si>
  <si>
    <t>2572</t>
  </si>
  <si>
    <t>Proizvodnja brava i okova</t>
  </si>
  <si>
    <t>2573</t>
  </si>
  <si>
    <t>Proizvodnja alata</t>
  </si>
  <si>
    <t>2591</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</si>
  <si>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</si>
  <si>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</si>
  <si>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</si>
  <si>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</si>
  <si>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</si>
  <si>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</si>
  <si>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</si>
  <si>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</si>
  <si>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</si>
  <si>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</si>
  <si>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</si>
  <si>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SIF_VLASTI</t>
  </si>
  <si>
    <t>OPIS_VLASTI</t>
  </si>
  <si>
    <t>U nastavku su dane upute za ispunjavanje općih podataka (Referentne stranice).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</si>
  <si>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</si>
  <si>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</si>
  <si>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</si>
  <si>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</si>
  <si>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</si>
  <si>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Karojba</t>
  </si>
  <si>
    <t>Prgomet</t>
  </si>
  <si>
    <t>Žminj</t>
  </si>
  <si>
    <t>Proizvodnja škroba i škrobnih proizvoda</t>
  </si>
  <si>
    <t>1071</t>
  </si>
  <si>
    <t>Proizvodnja kruha; proizvodnja svježih peciva, slastičarskih proizvoda i kolača</t>
  </si>
  <si>
    <t>1072</t>
  </si>
  <si>
    <t>Djelatnosti posredovanja u poslovanju vrijednosnim papirima i robnim ugovorima</t>
  </si>
  <si>
    <t>6619</t>
  </si>
  <si>
    <t>Ostale pomoćne djelatnosti kod financijskih usluga, osim osiguranja i mirovinskih fondova</t>
  </si>
  <si>
    <t>6621</t>
  </si>
  <si>
    <t>Procjena rizika i štete</t>
  </si>
  <si>
    <t>6622</t>
  </si>
  <si>
    <t xml:space="preserve">Djelatnosti agenata i posrednika osiguranja </t>
  </si>
  <si>
    <t>6629</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</si>
  <si>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</si>
  <si>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</si>
  <si>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</si>
  <si>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</si>
  <si>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</si>
  <si>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</si>
  <si>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</si>
  <si>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 xml:space="preserve">  1. Neto novčani tijek iz poslovnih aktivnosti (002 do 009)</t>
  </si>
  <si>
    <t xml:space="preserve">      1.1. Naplaćena kamata i slični primici</t>
  </si>
  <si>
    <t xml:space="preserve">      1.2. Naplaćene naknade i provizije</t>
  </si>
  <si>
    <t xml:space="preserve">      1.3. Plaćena kamata i slični izdaci</t>
  </si>
  <si>
    <t>Popravak i održavanje ostalih prijevoznih sredstava</t>
  </si>
  <si>
    <t>3319</t>
  </si>
  <si>
    <t>Popravak ostale opreme</t>
  </si>
  <si>
    <t>3320</t>
  </si>
  <si>
    <t>Instaliranje industrijskih strojeva i opreme</t>
  </si>
  <si>
    <t>3511</t>
  </si>
  <si>
    <t>Proizvodnja električne energije</t>
  </si>
  <si>
    <t>3512</t>
  </si>
  <si>
    <t>Prijenos električne energije</t>
  </si>
  <si>
    <t>3513</t>
  </si>
  <si>
    <t>Distribucija električne energije</t>
  </si>
  <si>
    <t>3514</t>
  </si>
  <si>
    <t>Trgovina električnom energijom</t>
  </si>
  <si>
    <t>3521</t>
  </si>
  <si>
    <t>Proizvodnja plina</t>
  </si>
  <si>
    <t>3522</t>
  </si>
  <si>
    <t>Distribucija plinovitih goriva distribucijskom mrežom</t>
  </si>
  <si>
    <t>3523</t>
  </si>
  <si>
    <t>Trgovina plinom distribucijskom mrežom</t>
  </si>
  <si>
    <t>3530</t>
  </si>
  <si>
    <t>Opskrba parom i klimatizacija</t>
  </si>
  <si>
    <t>3600</t>
  </si>
  <si>
    <t>Skupljanje, pročišćavanje i opskrba vodom</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</si>
  <si>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</si>
  <si>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</si>
  <si>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</si>
  <si>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</si>
  <si>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</si>
  <si>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</si>
  <si>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</si>
  <si>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</si>
  <si>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</si>
  <si>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</si>
  <si>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</si>
  <si>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</si>
  <si>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</si>
  <si>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</si>
  <si>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</si>
  <si>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</si>
  <si>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</si>
  <si>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</si>
  <si>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</si>
  <si>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</si>
  <si>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</si>
  <si>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</si>
  <si>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</si>
  <si>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</si>
  <si>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</si>
  <si>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</si>
  <si>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</si>
  <si>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</si>
  <si>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</si>
  <si>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</si>
  <si>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</si>
  <si>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</si>
  <si>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</si>
  <si>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</si>
  <si>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Naziv pozicije</t>
  </si>
  <si>
    <t>AOP</t>
  </si>
  <si>
    <t>Kontrole popunjenosti podataka i primjene poslovnih pravila - moraju biti zadovoljene</t>
  </si>
  <si>
    <t>Matični broj (MB):</t>
  </si>
  <si>
    <t>Matični broj suda (MBS):</t>
  </si>
  <si>
    <t>Proizvodnja duhanskih proizvoda</t>
  </si>
  <si>
    <t>1310</t>
  </si>
  <si>
    <t>Priprema i predenje tekstilnih vlakana</t>
  </si>
  <si>
    <t>1320</t>
  </si>
  <si>
    <t>Tkanje tekstila</t>
  </si>
  <si>
    <t>1330</t>
  </si>
  <si>
    <t>Dovršavanje tekstila</t>
  </si>
  <si>
    <t>1391</t>
  </si>
  <si>
    <t>Proizvodnja pletenih i kukičanih tkanina</t>
  </si>
  <si>
    <t>1392</t>
  </si>
  <si>
    <t>Proizvodnja gotovih tekstilnih proizvoda, osim odjeće</t>
  </si>
  <si>
    <t>1393</t>
  </si>
  <si>
    <t xml:space="preserve">Proizvodnja tepiha i sagova </t>
  </si>
  <si>
    <t>1394</t>
  </si>
  <si>
    <t>Proizvodnja užadi, konopaca, upletenoga konca i mreža</t>
  </si>
  <si>
    <t>1395</t>
  </si>
  <si>
    <t>Proizvodnja netkanog tekstila i proizvoda od netkanog tekstila, osim odjeće</t>
  </si>
  <si>
    <t>1396</t>
  </si>
  <si>
    <t>Proizvodnja ostaloga tehničkog i industrijskog tekstila</t>
  </si>
  <si>
    <t>1399</t>
  </si>
  <si>
    <t>Proizvodnja ostalog tekstila, d. n.</t>
  </si>
  <si>
    <t>1411</t>
  </si>
  <si>
    <t>Proizvodnja kožne odjeće</t>
  </si>
  <si>
    <t>1412</t>
  </si>
  <si>
    <t xml:space="preserve">Proizvodnja radne odjeće </t>
  </si>
  <si>
    <t>1413</t>
  </si>
  <si>
    <t>Proizvodnja ostale vanjske odjeće</t>
  </si>
  <si>
    <t>1414</t>
  </si>
  <si>
    <t>Proizvodnja rublja</t>
  </si>
  <si>
    <t>1419</t>
  </si>
  <si>
    <t xml:space="preserve">Proizvodnja ostale odjeće i pribora za odjeću </t>
  </si>
  <si>
    <t>1420</t>
  </si>
  <si>
    <t>Proizvodnja proizvoda od krzna</t>
  </si>
  <si>
    <t>1431</t>
  </si>
  <si>
    <t>Proizvodnja pletenih i kukičanih čarapa</t>
  </si>
  <si>
    <t>1439</t>
  </si>
  <si>
    <t>Proizvodnja ostale pletene i kukičane odjeće</t>
  </si>
  <si>
    <t>1511</t>
  </si>
  <si>
    <t>Štavljenje i obrada kože; dorada i bojenje krzna</t>
  </si>
  <si>
    <t>1512</t>
  </si>
  <si>
    <t>Proizvodnja putnih i ručnih torba i slično, sedlarskih i remenarskih proizvoda</t>
  </si>
  <si>
    <t>5912</t>
  </si>
  <si>
    <t xml:space="preserve">      1.6. Neto dobici / gubici od financijskih instrumenata po fer vrijednosti 
              u računu dobiti i gubitka</t>
  </si>
  <si>
    <t>Stanje 1. siječnja  tekuće  godine</t>
  </si>
  <si>
    <t>Promjene računovodstvenih politika i ispravci pogrešaka</t>
  </si>
  <si>
    <t>Prepravljeno stanje 1.siječnja tekuće godine (001+002)</t>
  </si>
  <si>
    <t>Prodaja  financijske imovine raspoložive za prodaju</t>
  </si>
  <si>
    <t>Promjena fer vrijednosti portfelja financijske imovine raspoložive za prodaju</t>
  </si>
  <si>
    <t>Porez na stavke izravno priznate  ili prenijete iz kapitala i rezervi</t>
  </si>
  <si>
    <t>Ostali dobici i gubici izravno priznati u kapitalu i rezervama</t>
  </si>
  <si>
    <t>Neto dobici / gubici priznati izravno u kapitalu i rezervama (004+005+006+007)</t>
  </si>
  <si>
    <t>Dobit / gubitak tekuće godine</t>
  </si>
  <si>
    <t>Ukupno priznati prihodi i rashodi za tekuću godinu (008+009)</t>
  </si>
  <si>
    <t>Povećanje / smanjenje dioničkog kapitala</t>
  </si>
  <si>
    <t>Kupnja / prodaja trezorskih dionica</t>
  </si>
  <si>
    <t>Ostale promjene</t>
  </si>
  <si>
    <t>Prijenos u rezerve</t>
  </si>
  <si>
    <t>Isplata dividende</t>
  </si>
  <si>
    <t>Raspodjela dobiti (014+015)</t>
  </si>
  <si>
    <t xml:space="preserve">Stanje na dan 31.12. tekuće godine                 (003+010+011+012+013+016) </t>
  </si>
  <si>
    <t>Dionički kapital</t>
  </si>
  <si>
    <t>* Primici s osnove kamata i dividendi mogu se razvrstati kao i poslovne aktivnosti (MRS 7 Dodatak A)</t>
  </si>
  <si>
    <t>Trgovina na veliko cvijećem i sadnicama</t>
  </si>
  <si>
    <t>4623</t>
  </si>
  <si>
    <t>Trgovina na veliko živom stokom</t>
  </si>
  <si>
    <t>4624</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</si>
  <si>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</si>
  <si>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</si>
  <si>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</si>
  <si>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</si>
  <si>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</si>
  <si>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</si>
  <si>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</si>
  <si>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IZVJEŠTAJ O NOVČANOM TIJEKU - Direktna metoda</t>
  </si>
  <si>
    <t>Proizvodnja proizvoda od plastike za građevinarstvo</t>
  </si>
  <si>
    <t>2229</t>
  </si>
  <si>
    <t>Proizvodnja ostalih proizvoda od plastike</t>
  </si>
  <si>
    <t>2311</t>
  </si>
  <si>
    <t>Proizvodnja ravnog stakla</t>
  </si>
  <si>
    <t>2312</t>
  </si>
  <si>
    <t>Oblikovanje i obrada ravnog stakla</t>
  </si>
  <si>
    <t>2313</t>
  </si>
  <si>
    <t>Proizvodnja šupljeg stakla</t>
  </si>
  <si>
    <t>2314</t>
  </si>
  <si>
    <t>Proizvodnja staklenih vlakana</t>
  </si>
  <si>
    <t>2319</t>
  </si>
  <si>
    <t>Proizvodnja i obrada ostalog stakla uključujući tehničku robu od stakla</t>
  </si>
  <si>
    <t>2320</t>
  </si>
  <si>
    <t>Proizvodnja vatrostalnih proizvoda</t>
  </si>
  <si>
    <t>2331</t>
  </si>
  <si>
    <t>KNTBR</t>
  </si>
  <si>
    <t>IZNOS01</t>
  </si>
  <si>
    <t>IZNOS02</t>
  </si>
  <si>
    <t>IZNOS03</t>
  </si>
  <si>
    <t>IZNOS04</t>
  </si>
  <si>
    <t>IZNOS05</t>
  </si>
  <si>
    <r>
      <t xml:space="preserve">Korisnici </t>
    </r>
    <r>
      <rPr>
        <b/>
        <sz val="8"/>
        <color indexed="10"/>
        <rFont val="Arial"/>
        <family val="2"/>
      </rPr>
      <t>Office-a 2007</t>
    </r>
    <r>
      <rPr>
        <sz val="8"/>
        <color indexed="56"/>
        <rFont val="Arial"/>
        <family val="2"/>
      </rPr>
      <t xml:space="preserve"> obratite pozornost na format Excel datoteke. Office 2007. prilikom snimanja nudi mogućnost konverzije datoteke u noviji Excel 2007 format, ne prihvaćajte konverziju u noviji format, neka ostane u formatu 97-2003. Učitavanje Excel datoteke iz 2007 formata u trenutku izrade ove datoteke nije bilo podržano. Kada bude podržano učitavanje i formata Excel-a 2007, na internetske stranice FINA-e će biti stavljena nova verzija Excel datoteke, zajedno s obavijesti na listu Novosti da je podržano učitavanje i novijeg formata. Ako ste Excel datoteku već konvertirali u format 2007. treba je ponovo snimiti u formatu 97-2003. Snimanje već konvertirane datoteke ponovo u verziju 97-2003 radi se preko izbornika File - Save As (Datoteka - Spremi kao...), gdje osim lokacije i imena datoteke izabirete i verziju Excel datoteke (opcija Save As Type / Spremi u obliku). U izborniku Save as Type potrebno je izabrati verziju Excel 97-2003. Tako snimljena datoteka imate će nastavak .xls (a ne .xlsx kao Office2007 format) i bit će je moguće učitatit kroz FINA aplikacije.</t>
    </r>
  </si>
  <si>
    <r>
      <t>Premije osiguranje (bruto) (AOP 178)</t>
    </r>
    <r>
      <rPr>
        <sz val="8"/>
        <color indexed="56"/>
        <rFont val="Arial"/>
        <family val="2"/>
      </rPr>
      <t xml:space="preserve"> − unosi se bruto iznos premija osiguranja imovine, osoba, životnog osiguranja i sl. za koje je ugovaratelj i korisnik osiguranja banka.</t>
    </r>
  </si>
  <si>
    <t>Morski ribolov</t>
  </si>
  <si>
    <t>0312</t>
  </si>
  <si>
    <t>Slatkovodni ribolov</t>
  </si>
  <si>
    <t>0321</t>
  </si>
  <si>
    <t>Morska akvakultura</t>
  </si>
  <si>
    <t>0322</t>
  </si>
  <si>
    <t xml:space="preserve">  7. VRIJEDNOSNI PAPIRI I DRUGI FINANCIJSKI INSTRUMENTI KOJIMA SE AKTIVNO NE
      TRGUJE, A VREDNUJU SE PREMA FER VRIJEDNOSTI KROZ RDG</t>
  </si>
  <si>
    <t>11. ULAGANJA U PODRUŽNICE, PRIDRUŽENA DRUŠTVA I ZAJEDNIČKE  POTHVATE</t>
  </si>
  <si>
    <t>DODATAK BILANCI (popunjavju banke koje sastavljaju konsolidirani godišnji financijski izvještaj)</t>
  </si>
  <si>
    <t xml:space="preserve">  1. Kamatni prihodi</t>
  </si>
  <si>
    <t xml:space="preserve">  2. Kamatni troškovi</t>
  </si>
  <si>
    <t xml:space="preserve">  4. Prihodi od provizija i naknada</t>
  </si>
  <si>
    <t xml:space="preserve">  5. Troškovi provizija i naknada</t>
  </si>
  <si>
    <t xml:space="preserve">  8. Dobit / gubitak od aktivnosti trgovanja</t>
  </si>
  <si>
    <t xml:space="preserve">  9. Dobit / gubitak od ugrađenih derivata</t>
  </si>
  <si>
    <t>10. Dobit / gubitak od imovine kojom se aktivno ne trguje, a koja se vrednuje 
      prema fer vrijednosti kroz RDG</t>
  </si>
  <si>
    <t xml:space="preserve">11. Dobit / gubitak od aktivnosti u kategoriji imovine raspoložive za prodaju </t>
  </si>
  <si>
    <t xml:space="preserve">12. Dobit / gubitak od aktivnosti u kategoriji  imovine koja se drži do dospijeća </t>
  </si>
  <si>
    <t>13. Dobit / gubitak proizišao iz transakcija zaštite</t>
  </si>
  <si>
    <t>14. Prihodi od ulaganja u podružnice, pridružena društva i zajedničke pothvate</t>
  </si>
  <si>
    <t>15. Prihodi od ostalih vlasničkih ulaganja</t>
  </si>
  <si>
    <t>16. Dobit / gubitak od obračunatih tečajnih razlika</t>
  </si>
  <si>
    <t>Podaci u računu dobiti i gubitka pod AOP oznakama 048, 049, 051, 052, 061, 062, 064 do 066 i 072 moraju biti pozitivni ili jednaki nuli. Na ovim AOP oznakama nisu dopušteni negativni iznosi.</t>
  </si>
  <si>
    <t>Zbog obveznika u likvidaciji isključena je kontrola da AOP oznake 050 i 053 i moraju biti pozitivne.</t>
  </si>
  <si>
    <t>1.0.1.</t>
  </si>
  <si>
    <t>Ispravljena pogreška da u slučaju da je popunjen NT_I, kod učitavanja program javlja neispravan HASH, a u slučaju da je popunjen NT_D, prilikom učitavanja ne prenose se podaci iz kolone prethodne godine.</t>
  </si>
  <si>
    <t>Dorade u izračunu kontrolnog broja</t>
  </si>
  <si>
    <t>1.0.6.</t>
  </si>
  <si>
    <t>1060</t>
  </si>
  <si>
    <t>Šifra općine / grada upisuje se prema standardnim troznamenkastim šiframa bez kontrolne znamekne. U ovom šifrarniku šifre su dane abecednim redom naziva naselja. U obrazac se upisuje samo šifra općine / grada, a šifra županije se automatski izračunava.</t>
  </si>
  <si>
    <t>Mali poduzetnik</t>
  </si>
  <si>
    <t>Srednje veliki poduzetnik</t>
  </si>
  <si>
    <t>Veliki poduzetnik</t>
  </si>
  <si>
    <t>SIF_OBL_ORG</t>
  </si>
  <si>
    <t>Iznajmljivanje i davanje u zakup (leasing) uredskih strojeva i opreme (uključujući računala)</t>
  </si>
  <si>
    <t>7734</t>
  </si>
  <si>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</si>
  <si>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</si>
  <si>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</si>
  <si>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</si>
  <si>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</si>
  <si>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</si>
  <si>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</si>
  <si>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</si>
  <si>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</si>
  <si>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</si>
  <si>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</si>
  <si>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</si>
  <si>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</si>
  <si>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</si>
  <si>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</si>
  <si>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</si>
  <si>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Djelatnosti organizatora putovanja (turoperatora)</t>
  </si>
  <si>
    <t>7990</t>
  </si>
  <si>
    <t>Bilanca (Bilanca), račun dobiti i gubitka (RDG), dodatni podaci (BanDop), novčani tijek (NT_I ili NT_D) i promjene kapitala (PK) smatraju se standardnom dokumentacijom i mogu se popuniti u Excel-u, dok su bilješke uz financijske izvještaje, revizorsko izvješće, godišnje izvješće, odluka o raspodjeli dobiti ili pokriću gubitka i odluka o utvrđivanju godišnjeg financijskog izvještaja nestandardna dokumentacija te se prilažu paketu standardne dokumentacije u slobodnoj formi.</t>
  </si>
  <si>
    <t>Pomoć pri izračun naknade za javnu objavu</t>
  </si>
  <si>
    <r>
      <t>Od 1. siječnja 2012. u primjeni je novi Pravilnik</t>
    </r>
    <r>
      <rPr>
        <b/>
        <sz val="10"/>
        <color indexed="56"/>
        <rFont val="Arial"/>
        <family val="2"/>
      </rPr>
      <t xml:space="preserve"> </t>
    </r>
    <r>
      <rPr>
        <sz val="10"/>
        <color indexed="56"/>
        <rFont val="Arial"/>
        <family val="2"/>
      </rPr>
      <t>o vrstama  i visini naknada Financijskoj agenciji za uslugu javne objave godišnjih financijskih izvještaja i izdavanja dokumentacije iz Registra godišnjih financijskih izvještaja (NN br. 126/11).</t>
    </r>
    <r>
      <rPr>
        <b/>
        <sz val="10"/>
        <color indexed="56"/>
        <rFont val="Arial"/>
        <family val="2"/>
      </rPr>
      <t xml:space="preserve"> </t>
    </r>
    <r>
      <rPr>
        <sz val="10"/>
        <color indexed="56"/>
        <rFont val="Arial"/>
        <family val="2"/>
      </rPr>
      <t xml:space="preserve">Novim Pravilnikom regulirano je da uslugu javne objave onih financijskih izvještaje koje poduzetnici predaju u Finu, osobno ili putem pošte, bilo u elektroničkome obliku ili na papiru plaćaju sami poduzetnici. </t>
    </r>
    <r>
      <rPr>
        <b/>
        <sz val="10"/>
        <color indexed="56"/>
        <rFont val="Arial"/>
        <family val="2"/>
      </rPr>
      <t>Uz dokumentaciju za javnu objavu poduzetnici su od 1. siječnja 2012. dužni priložiti i dokaz o izvršenoj uplati naknade za uslugu javne objave</t>
    </r>
    <r>
      <rPr>
        <sz val="10"/>
        <color indexed="56"/>
        <rFont val="Arial"/>
        <family val="2"/>
      </rPr>
      <t xml:space="preserve">. </t>
    </r>
    <r>
      <rPr>
        <b/>
        <sz val="10"/>
        <color indexed="56"/>
        <rFont val="Arial"/>
        <family val="2"/>
      </rPr>
      <t>Dokumentacija bez priloženoga dokaza o izvršenoj uplati se neće zaprimati.</t>
    </r>
  </si>
  <si>
    <t xml:space="preserve">Naknadu za javnu objavu dokumentacije koja je u potpunosti (standardna i nestandardna dokumentacija) predana putem web servisa RGFI i nadalje podmiruje Ministarstvo financija. </t>
  </si>
  <si>
    <r>
      <t xml:space="preserve">Predaja godišnjeg financijskog izvještaja </t>
    </r>
    <r>
      <rPr>
        <b/>
        <sz val="10"/>
        <color indexed="56"/>
        <rFont val="Arial"/>
        <family val="2"/>
      </rPr>
      <t>samo za statističke potrebe se ne naplaćuje</t>
    </r>
    <r>
      <rPr>
        <sz val="10"/>
        <color indexed="56"/>
        <rFont val="Arial"/>
        <family val="2"/>
      </rPr>
      <t xml:space="preserve"> (šifra svrhe predaje 1).</t>
    </r>
  </si>
  <si>
    <t>Nisu obveznici revizije</t>
  </si>
  <si>
    <t>Obveznici revizije</t>
  </si>
  <si>
    <t>Iznos naknade ovisi o načinu predaje i prema tome da li je poduzetnik obveznik revizije ili ne. Iznosi su dani u nastavku:</t>
  </si>
  <si>
    <r>
      <t xml:space="preserve">Standardna dokumentacija poduzetnika predana </t>
    </r>
    <r>
      <rPr>
        <b/>
        <sz val="8"/>
        <color indexed="56"/>
        <rFont val="Arial"/>
        <family val="2"/>
      </rPr>
      <t>putem interneta</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</si>
  <si>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elektroničkom mediju</t>
    </r>
    <r>
      <rPr>
        <sz val="8"/>
        <color indexed="56"/>
        <rFont val="Arial"/>
        <family val="2"/>
      </rPr>
      <t xml:space="preserve">, a nestandardna dokumentacija predana </t>
    </r>
    <r>
      <rPr>
        <b/>
        <sz val="8"/>
        <color indexed="56"/>
        <rFont val="Arial"/>
        <family val="2"/>
      </rPr>
      <t>na papiru ili elektroničkome mediju</t>
    </r>
  </si>
  <si>
    <r>
      <t xml:space="preserve">Standardna dokumentacija poduzetnika predana </t>
    </r>
    <r>
      <rPr>
        <b/>
        <sz val="8"/>
        <color indexed="56"/>
        <rFont val="Arial"/>
        <family val="2"/>
      </rPr>
      <t>u poslovnicu FINE, na papiru</t>
    </r>
    <r>
      <rPr>
        <sz val="8"/>
        <color indexed="56"/>
        <rFont val="Arial"/>
        <family val="2"/>
      </rPr>
      <t xml:space="preserve">, a nestandardna dokumentacija predana </t>
    </r>
    <r>
      <rPr>
        <b/>
        <sz val="8"/>
        <color indexed="56"/>
        <rFont val="Arial"/>
        <family val="2"/>
      </rPr>
      <t>na papiru ili elektroničkome mediju</t>
    </r>
  </si>
  <si>
    <t>Uz ispravno upisanu šifru načina predaje, te ispravno označenu oznaku obveze revizije na radnom listu Opci, na primjeru naloga za plaćanje pokazat će se i ispravan iznos naknade uz sve ostale podatke koje je potrebno u nalogu popuniti. Upišite šifru načina predaje u pripadajuću kućicu.</t>
  </si>
  <si>
    <t>Šifra načina predaje:</t>
  </si>
  <si>
    <t xml:space="preserve">  7. Neto novčani tijek iz ulagačkih aktivnosti (026 do 030)</t>
  </si>
  <si>
    <t xml:space="preserve">      7.2. Primici od prodaje / plaćanja za kupnju/ ulaganja u podružnice, 
              pridružena društva i zajedničke pothvate</t>
  </si>
  <si>
    <t xml:space="preserve">      7.3. Primici od naplate / plaćanja za kupnju/ vrijednosnih papira 
             i drugih financijskih instrumenata koji se drže do dospijeća</t>
  </si>
  <si>
    <t xml:space="preserve">      7.4. Primljene dividende</t>
  </si>
  <si>
    <t xml:space="preserve">      7.5. Ostali primici / plaćanja/ iz ulagačkih aktivnosti</t>
  </si>
  <si>
    <t>FINANCIJSKE AKTIVNOSTI</t>
  </si>
  <si>
    <t xml:space="preserve">      8.1. Neto povećanje / smanjenje/  primljenih kredita</t>
  </si>
  <si>
    <t xml:space="preserve">      8.2. Neto povećanje / smanjenje/ izdanih dužničkih vrijednosnih papira</t>
  </si>
  <si>
    <t xml:space="preserve">      8.3. Neto povećanje / smanjenje/ podređenih i hibridnih instrumenata</t>
  </si>
  <si>
    <t xml:space="preserve">      8.4. Primici od emitiranja dioničkog kapitala</t>
  </si>
  <si>
    <t xml:space="preserve">      8.5. Isplaćena dividenda</t>
  </si>
  <si>
    <t xml:space="preserve">      8.6. Ostali primici / plaćanja iz financijskih aktivnosti</t>
  </si>
  <si>
    <t xml:space="preserve">  8. Neto novčani tijek iz financijskih aktivnosti (032 do 037)</t>
  </si>
  <si>
    <t xml:space="preserve">  9. Neto povećanje / smanjenje gotovine i ekvivalenata gotovine 
      (024+025+031)</t>
  </si>
  <si>
    <t xml:space="preserve"> 10. Učinci promjene tečaja stranih valuta na gotovinu i ekvivalente gotovine</t>
  </si>
  <si>
    <t xml:space="preserve"> 12. Gotovina i ekvivalenti gotovine na početku godine </t>
  </si>
  <si>
    <t xml:space="preserve"> 13. Gotovina i ekvivalenti gotovine na kraju godine (040+041)</t>
  </si>
  <si>
    <t xml:space="preserve">      7.1. Primici od prodaje / plaćanja za kupnju/ materijalne i nematerijalne 
              imovine</t>
  </si>
  <si>
    <r>
      <t>Obrazac</t>
    </r>
    <r>
      <rPr>
        <b/>
        <sz val="10"/>
        <color indexed="18"/>
        <rFont val="Arial"/>
        <family val="2"/>
      </rPr>
      <t xml:space="preserve">
</t>
    </r>
    <r>
      <rPr>
        <b/>
        <sz val="12"/>
        <color indexed="18"/>
        <rFont val="Arial Black"/>
        <family val="2"/>
      </rPr>
      <t>BAN-NTI</t>
    </r>
  </si>
  <si>
    <t xml:space="preserve">  1. Novčani tijek iz poslovnih aktivnosti prije promjena poslovne 
      imovine (002 do 007) </t>
  </si>
  <si>
    <r>
      <t>Izvještaj o novčanom toku</t>
    </r>
    <r>
      <rPr>
        <sz val="8"/>
        <color indexed="56"/>
        <rFont val="Arial"/>
        <family val="2"/>
      </rPr>
      <t xml:space="preserve"> dužne su dostaviti sve financijske institucije koji predaju izvještaj za potrebe javne objave. Postoje dvije vrste Izvještaja o novčanom toku, po </t>
    </r>
    <r>
      <rPr>
        <b/>
        <sz val="8"/>
        <color indexed="56"/>
        <rFont val="Arial"/>
        <family val="2"/>
      </rPr>
      <t xml:space="preserve">direktnoj metodi (POD-NTD) </t>
    </r>
    <r>
      <rPr>
        <sz val="8"/>
        <color indexed="56"/>
        <rFont val="Arial"/>
        <family val="2"/>
      </rPr>
      <t xml:space="preserve">i </t>
    </r>
    <r>
      <rPr>
        <b/>
        <sz val="8"/>
        <color indexed="56"/>
        <rFont val="Arial"/>
        <family val="2"/>
      </rPr>
      <t>indirektnoj metodi (POD-NTI)</t>
    </r>
    <r>
      <rPr>
        <sz val="8"/>
        <color indexed="56"/>
        <rFont val="Arial"/>
        <family val="2"/>
      </rPr>
      <t>. Svaki obveznik koji je dužan popuniti ovaj izvještaj popunjava samo jedan od dva navedena izvještaja - ovisno o primijenjenim računovodstvenim politikama. Kontrola je neispravna ako su popunjena oba izvještaja, ili nije ni jedan, a obveznik ga je dužan popuniti. Ovaj izvještaj se ne popunjava ako je svrha predaje samo statističke potrebe ili je vrsta izvještaja 32. Kontrola provjerava i popunjenost kolona u izvještaju, ako u bilanci i računu dobiti gubitka nije popunjena kolona prethodne godine, ne može biti ni u NT-u, isto tako, ako je kolona prethodne godine popunjena u bilanci i računu dobiti i gubitka, mora i u NT-u.</t>
    </r>
  </si>
  <si>
    <r>
      <t xml:space="preserve">Izvještaj o promjenama kapitala </t>
    </r>
    <r>
      <rPr>
        <sz val="8"/>
        <color indexed="56"/>
        <rFont val="Arial"/>
        <family val="2"/>
      </rPr>
      <t>dužne su dostaviti sve financijske institucije koje predaju izvještaj za potrebe javne objave. Ako je obveznik dužan popuniti i Izvještaj o promjenama kapitala, a on nije popunjen, ova kontrola je neispravna. Ovaj izvještaj ne predaje se za vrstu izvještaja 32 ili ako je svrha predaje samo statističke potrebe.</t>
    </r>
  </si>
  <si>
    <r>
      <t xml:space="preserve">Godišnje izvješće </t>
    </r>
    <r>
      <rPr>
        <sz val="8"/>
        <color indexed="56"/>
        <rFont val="Arial"/>
        <family val="2"/>
      </rPr>
      <t>dostavlja se samo ako se izvještaj predaje u svrhu javnu objavu, a samo za vrste izvještaja 10, 11. Uz vrste izvještaja 20 i 30 godišnje izvješće se može predati, ali nije obavezno (zavisno od odluke stečajnog upravitelja)</t>
    </r>
  </si>
  <si>
    <r>
      <t>Odluka o raspodjeli dobiti ili pokriću gubitka</t>
    </r>
    <r>
      <rPr>
        <sz val="8"/>
        <color indexed="56"/>
        <rFont val="Arial"/>
        <family val="2"/>
      </rPr>
      <t xml:space="preserve"> predaje se uz izvještaje s oznakom vrste izvještaja 10 i 11. Za vrste izvještaja 20 i 30 ova odluka može se predati, ali njie obvezna dok se uz ostale vrste izvještaja kao ni uz konsolidirane izvještaje ne predaje.</t>
    </r>
  </si>
  <si>
    <t>Gradnja cjevovoda za tekućine i plinove</t>
  </si>
  <si>
    <t>4222</t>
  </si>
  <si>
    <t>Gradnja vodova za električnu struju i telekomunikacije</t>
  </si>
  <si>
    <t>4291</t>
  </si>
  <si>
    <t>NAZIV_ZUP</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</si>
  <si>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</si>
  <si>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</si>
  <si>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</si>
  <si>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</si>
  <si>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</si>
  <si>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</si>
  <si>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</si>
  <si>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</si>
  <si>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</si>
  <si>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</si>
  <si>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</si>
  <si>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</si>
  <si>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</si>
  <si>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</si>
  <si>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</si>
  <si>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</si>
  <si>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</si>
  <si>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</si>
  <si>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</si>
  <si>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</si>
  <si>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</si>
  <si>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</si>
  <si>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</si>
  <si>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</si>
  <si>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SIF_SVRHE</t>
  </si>
  <si>
    <t>OPIS_SVRHE</t>
  </si>
  <si>
    <t>VEL</t>
  </si>
  <si>
    <t>OPIS VEL</t>
  </si>
  <si>
    <t>VP</t>
  </si>
  <si>
    <t>VER</t>
  </si>
  <si>
    <t>(osoba ovlaštene za zastupanje)</t>
  </si>
  <si>
    <t>Završni dan računa dobiti i gubitka je ujedno i datum stanja u bilanci</t>
  </si>
  <si>
    <t>Udjel</t>
  </si>
  <si>
    <t>Reguliranje djelatnosti subjekata koji pružaju zdravstvenu zaštitu, usluge u obrazovanju i kulturi i druge društvene usluge, osim obveznoga socijalnog osiguranja</t>
  </si>
  <si>
    <t>8413</t>
  </si>
  <si>
    <t>Izvještaj kojeg ispunjava obveznik kome se poslovna godina razlikuje od kalendarske.</t>
  </si>
  <si>
    <t>Izvještaj kojeg ispunjava obveznik u stečaju.</t>
  </si>
  <si>
    <t>Izvještaj kojeg sastavlja obveznik za razdoblje od početka godine do dana koji prethodi danu otvaranja stečajnog postupka.</t>
  </si>
  <si>
    <t>Izvještaj kojeg ispunjava obveznik  likvidaciji.</t>
  </si>
  <si>
    <t>Izvještaj kojeg sastavlja obveznik za razdoblje od početka godine do dana koji prethodi danu otvaranja likvidacijskog postupka.</t>
  </si>
  <si>
    <t>Izvještaj kojeg sastavlja obveznik nad kojim je tijekom poslovne godine otvoren likvidacijski postupak  (početno likvidacijsko izvješće).</t>
  </si>
  <si>
    <t>4634</t>
  </si>
  <si>
    <t>Trgovina na veliko pićima</t>
  </si>
  <si>
    <t>4635</t>
  </si>
  <si>
    <t>Trgovina na veliko duhanskim proizvodima</t>
  </si>
  <si>
    <t>4636</t>
  </si>
  <si>
    <t>Trgovina na veliko šećerom, čokoladom i bombonima</t>
  </si>
  <si>
    <t>4637</t>
  </si>
  <si>
    <t>Trgovina na veliko kavom, čajem, kakaom i začinima</t>
  </si>
  <si>
    <t>4638</t>
  </si>
  <si>
    <t>Trgovina ostalim motornim vozilima</t>
  </si>
  <si>
    <t>4520</t>
  </si>
  <si>
    <t>Održavanje i popravak motornih vozila</t>
  </si>
  <si>
    <t>4531</t>
  </si>
  <si>
    <t xml:space="preserve">Djelatnosti socijalne skrbi sa smještajem za osobe s teškoćama u razvoju, duševno bolesne osobe i osobe ovisne o alkoholu, drogama ili drugim opojnim sredstvima </t>
  </si>
  <si>
    <t>8730</t>
  </si>
  <si>
    <t>Veličina</t>
  </si>
  <si>
    <t>Vlasništvo</t>
  </si>
  <si>
    <t>Zaposleni</t>
  </si>
  <si>
    <t>PorijekloKap</t>
  </si>
  <si>
    <t>MjesPosl</t>
  </si>
  <si>
    <t>KontOsob</t>
  </si>
  <si>
    <t>OvlOsime</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</si>
  <si>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</si>
  <si>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</si>
  <si>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</si>
  <si>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</si>
  <si>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</si>
  <si>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</si>
  <si>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</si>
  <si>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</si>
  <si>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</si>
  <si>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</si>
  <si>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</si>
  <si>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</si>
  <si>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</si>
  <si>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</si>
  <si>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</si>
  <si>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</si>
  <si>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</si>
  <si>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</si>
  <si>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</si>
  <si>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</si>
  <si>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</si>
  <si>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</si>
  <si>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</si>
  <si>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</si>
  <si>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</si>
  <si>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</si>
  <si>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</si>
  <si>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</si>
  <si>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</si>
  <si>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</si>
  <si>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</si>
  <si>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</si>
  <si>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</si>
  <si>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</si>
  <si>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</si>
  <si>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</si>
  <si>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</si>
  <si>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</si>
  <si>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</si>
  <si>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</si>
  <si>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</si>
  <si>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</si>
  <si>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</si>
  <si>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Proizvodnja madraca</t>
  </si>
  <si>
    <t>3109</t>
  </si>
  <si>
    <t>Proizvodnja ostalog namještaja</t>
  </si>
  <si>
    <t>3211</t>
  </si>
  <si>
    <t>Proizvodnja novca</t>
  </si>
  <si>
    <t>3212</t>
  </si>
  <si>
    <t>Proizvodnja nakita i srodnih proizvoda</t>
  </si>
  <si>
    <t>3213</t>
  </si>
  <si>
    <t>Djelatnosti socijalne skrbi sa smještajem za starije osobe i osobe s invaliditetom</t>
  </si>
  <si>
    <t>8790</t>
  </si>
  <si>
    <t>Ostale djelatnosti socijalne skrbi sa smještajem</t>
  </si>
  <si>
    <t>8810</t>
  </si>
  <si>
    <t>Kontrole upozorenja (kontrole koje vrijede samo u posebnim slučajevima ili samo upozoravaju na mogućnost pogreške prilikom unosa podataka)</t>
  </si>
  <si>
    <t>Prerada i konzerviranje mesa</t>
  </si>
  <si>
    <t>1012</t>
  </si>
  <si>
    <t>Prerada i konzerviranje mesa peradi</t>
  </si>
  <si>
    <t>1013</t>
  </si>
  <si>
    <t>Proizvodnja proizvoda od mesa i mesa peradi</t>
  </si>
  <si>
    <t>1020</t>
  </si>
  <si>
    <t xml:space="preserve">Prerada i konzerviranje riba, rakova i školjki </t>
  </si>
  <si>
    <t>1031</t>
  </si>
  <si>
    <t>Prerada i konzerviranje krumpira</t>
  </si>
  <si>
    <t>1032</t>
  </si>
  <si>
    <t>Proizvodnja sokova od voća i povrća</t>
  </si>
  <si>
    <t>1039</t>
  </si>
  <si>
    <t>Ostala prerada i konzerviranje voća i povrća</t>
  </si>
  <si>
    <t>1041</t>
  </si>
  <si>
    <t>Proizvodnja ulja i masti</t>
  </si>
  <si>
    <t>1042</t>
  </si>
  <si>
    <t>Proizvodnja margarina i sličnih jestivih masti</t>
  </si>
  <si>
    <t>1051</t>
  </si>
  <si>
    <t>Djelatnosti mljekara i proizvođača sira</t>
  </si>
  <si>
    <t>1052</t>
  </si>
  <si>
    <t>Proizvodnja sladoleda</t>
  </si>
  <si>
    <t>1061</t>
  </si>
  <si>
    <t>Proizvodnja mlinskih proizvoda</t>
  </si>
  <si>
    <t>1062</t>
  </si>
  <si>
    <t>Proizvodnja robe za kućanstvo i higijenu te toaletnih potrepština od papira</t>
  </si>
  <si>
    <t>1723</t>
  </si>
  <si>
    <t>Proizvodnja uredskog materijala od papira</t>
  </si>
  <si>
    <t>1724</t>
  </si>
  <si>
    <t>Proizvodnja zidnih tapeta</t>
  </si>
  <si>
    <t>1729</t>
  </si>
  <si>
    <t>Proizvodnja ostalih proizvoda od papira i kartona</t>
  </si>
  <si>
    <t>1811</t>
  </si>
  <si>
    <t>Tiskanje novina</t>
  </si>
  <si>
    <t>1812</t>
  </si>
  <si>
    <t xml:space="preserve">Ostalo tiskanje </t>
  </si>
  <si>
    <t>1813</t>
  </si>
  <si>
    <r>
      <t xml:space="preserve">Pored opisa mnogih polja postoje </t>
    </r>
    <r>
      <rPr>
        <b/>
        <sz val="8"/>
        <color indexed="56"/>
        <rFont val="Arial"/>
        <family val="2"/>
      </rPr>
      <t>komentari</t>
    </r>
    <r>
      <rPr>
        <sz val="8"/>
        <color indexed="56"/>
        <rFont val="Arial"/>
        <family val="2"/>
      </rPr>
      <t>. Komentar u Excelu možete prepoznati kao mali crveni trokutić u gornjem desnom uglu pojedinog polja (čak i ovo polje uputa ima komentar za primjer). Pozicioniranjem pokazivača miša iznad polja koje sadrži komentar na ekranu će se pojavit će se dodatan opis ili uputa o načinu na koji se to polje popunjava, a što nije objašnjeno unutar ovih uputa (primjerice, na radnom listu Opci postoji uputa o popunjavanju oznaka predane dokumentacije kao komentar na tekstu "Popis dokumentacije".</t>
    </r>
  </si>
  <si>
    <r>
      <t xml:space="preserve">5. </t>
    </r>
    <r>
      <rPr>
        <b/>
        <sz val="8"/>
        <color indexed="56"/>
        <rFont val="Arial"/>
        <family val="2"/>
      </rPr>
      <t>Šifra NKD-a</t>
    </r>
    <r>
      <rPr>
        <sz val="8"/>
        <color indexed="56"/>
        <rFont val="Arial"/>
        <family val="2"/>
      </rPr>
      <t xml:space="preserve"> (Nacionalna klasifikacija djelatnosti 2007): banka unosi šifru koju joj je dodijelio Državni zavod za statistiku.</t>
    </r>
  </si>
  <si>
    <r>
      <t xml:space="preserve">6. </t>
    </r>
    <r>
      <rPr>
        <b/>
        <sz val="8"/>
        <color indexed="56"/>
        <rFont val="Arial"/>
        <family val="2"/>
      </rPr>
      <t>Šifra općine/grada i županije</t>
    </r>
    <r>
      <rPr>
        <sz val="8"/>
        <color indexed="56"/>
        <rFont val="Arial"/>
        <family val="2"/>
      </rPr>
      <t xml:space="preserve"> preuzima se iz Naredbe o načinu uplaćivanja prihoda proračuna, obveznih doprinosa te prihoda za financiranje drugih javnih potreba (Popis računa za redovno poslovanje proračuna županija i gradova/općina po županijama).</t>
    </r>
  </si>
  <si>
    <r>
      <t xml:space="preserve">8. </t>
    </r>
    <r>
      <rPr>
        <b/>
        <sz val="8"/>
        <color indexed="56"/>
        <rFont val="Arial"/>
        <family val="2"/>
      </rPr>
      <t>Konsolidirani izvještaj (DA/NE)</t>
    </r>
    <r>
      <rPr>
        <sz val="8"/>
        <color indexed="56"/>
        <rFont val="Arial"/>
        <family val="2"/>
      </rPr>
      <t>: ako izvještaj predaje matično društvo za grupu poduzetnika u polje se upisuje DA. U tom slučaju matično društvo uz godišnji financijski izvještaj treba predati i popis poduzetnika koji su uključeni u konsolidaciju, na popisu treba navesti: MB, naziv, mjesto (državu ako je subjekt van Hrvatske) sjedišta i postotak udjela.</t>
    </r>
  </si>
  <si>
    <r>
      <t>11.</t>
    </r>
    <r>
      <rPr>
        <b/>
        <sz val="8"/>
        <color indexed="56"/>
        <rFont val="Arial"/>
        <family val="2"/>
      </rPr>
      <t xml:space="preserve"> Broj zaposlenih krajem razdoblja</t>
    </r>
    <r>
      <rPr>
        <sz val="8"/>
        <color indexed="56"/>
        <rFont val="Arial"/>
        <family val="2"/>
      </rPr>
      <t>: prosječan broj zaposlenih krajem razdoblja utvrđuje se kao prosjek stanja zaposlenih 1.1. i krajem svakog tromjesečja prethodne i tekuće godine, uključujući i zaposlene u inozemstvu.</t>
    </r>
  </si>
  <si>
    <r>
      <t xml:space="preserve">12. </t>
    </r>
    <r>
      <rPr>
        <b/>
        <sz val="8"/>
        <color indexed="56"/>
        <rFont val="Arial"/>
        <family val="2"/>
      </rPr>
      <t>Broj zaposlenih − stanje na temelju sati rada</t>
    </r>
    <r>
      <rPr>
        <sz val="8"/>
        <color indexed="56"/>
        <rFont val="Arial"/>
        <family val="2"/>
      </rPr>
      <t>: prosječan broj zaposlenih radnika na bazi sati rada utvrđuje se tako da se ukupan broj ostvarenih sati rada u godišnjem razdoblju podijeli s brojem mogućih sati rada po jednome zaposlenom radniku u odnosnome razdoblju.</t>
    </r>
  </si>
  <si>
    <t>Reguliranje i poboljšavanje poslovanja u gospodarstvu</t>
  </si>
  <si>
    <t>8421</t>
  </si>
  <si>
    <t>Vanjski poslovi</t>
  </si>
  <si>
    <t>8422</t>
  </si>
  <si>
    <t>Poslovi obrane</t>
  </si>
  <si>
    <t>8423</t>
  </si>
  <si>
    <t>Sudske i pravosudne djelatnosti</t>
  </si>
  <si>
    <t>8424</t>
  </si>
  <si>
    <t>Poslovi javnog reda i sigurnosti</t>
  </si>
  <si>
    <t>8425</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</si>
  <si>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</si>
  <si>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</si>
  <si>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</si>
  <si>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</si>
  <si>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</si>
  <si>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</si>
  <si>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</si>
  <si>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</si>
  <si>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</si>
  <si>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</si>
  <si>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komunikacijske opreme</t>
  </si>
  <si>
    <t>2640</t>
  </si>
  <si>
    <t>Proizvodnja elektroničkih uređaja za široku potrošnju</t>
  </si>
  <si>
    <t>2651</t>
  </si>
  <si>
    <t>Proizvodnja instrumenata i aparata za mjerenje, ispitivanje i navigaciju</t>
  </si>
  <si>
    <t>2652</t>
  </si>
  <si>
    <t xml:space="preserve">Proizvodnja satova </t>
  </si>
  <si>
    <t>2660</t>
  </si>
  <si>
    <t>Proizvodnja opreme za zračenje, elektromedicinske i elektroterapeutske opreme</t>
  </si>
  <si>
    <t>2670</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</si>
  <si>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</si>
  <si>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</si>
  <si>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</si>
  <si>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</si>
  <si>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</si>
  <si>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</si>
  <si>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</si>
  <si>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</si>
  <si>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</si>
  <si>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</si>
  <si>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</si>
  <si>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</si>
  <si>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</si>
  <si>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</si>
  <si>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</si>
  <si>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</si>
  <si>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</si>
  <si>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</si>
  <si>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</si>
  <si>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</si>
  <si>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</si>
  <si>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</si>
  <si>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</si>
  <si>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</si>
  <si>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</si>
  <si>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</si>
  <si>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</si>
  <si>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</si>
  <si>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</si>
  <si>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</si>
  <si>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</si>
  <si>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</si>
  <si>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</si>
  <si>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</si>
  <si>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</si>
  <si>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</si>
  <si>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</si>
  <si>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</si>
  <si>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</si>
  <si>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</si>
  <si>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</si>
  <si>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</si>
  <si>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</si>
  <si>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</si>
  <si>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</si>
  <si>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</si>
  <si>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</si>
  <si>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</si>
  <si>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</si>
  <si>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</si>
  <si>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</si>
  <si>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</si>
  <si>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</si>
  <si>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</si>
  <si>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</si>
  <si>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</si>
  <si>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</si>
  <si>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</si>
  <si>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</si>
  <si>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</si>
  <si>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</si>
  <si>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</si>
  <si>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</si>
  <si>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</si>
  <si>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</si>
  <si>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</si>
  <si>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</si>
  <si>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</si>
  <si>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</si>
  <si>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</si>
  <si>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</si>
  <si>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</si>
  <si>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</si>
  <si>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</si>
  <si>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</si>
  <si>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</si>
  <si>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</si>
  <si>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</si>
  <si>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</si>
  <si>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</si>
  <si>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</si>
  <si>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</si>
  <si>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</si>
  <si>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</si>
  <si>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</si>
  <si>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</si>
  <si>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</si>
  <si>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</si>
  <si>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</si>
  <si>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</si>
  <si>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</si>
  <si>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</si>
  <si>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</si>
  <si>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</si>
  <si>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</si>
  <si>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</si>
  <si>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</si>
  <si>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</si>
  <si>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</si>
  <si>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</si>
  <si>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</si>
  <si>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</si>
  <si>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</si>
  <si>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</si>
  <si>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</si>
  <si>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</si>
  <si>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</si>
  <si>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</si>
  <si>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</si>
  <si>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</si>
  <si>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</si>
  <si>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</si>
  <si>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</si>
  <si>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</si>
  <si>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</si>
  <si>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</si>
  <si>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</si>
  <si>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</si>
  <si>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</si>
  <si>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</si>
  <si>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</si>
  <si>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</si>
  <si>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</si>
  <si>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</si>
  <si>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</si>
  <si>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</si>
  <si>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</si>
  <si>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</si>
  <si>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</si>
  <si>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</si>
  <si>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</si>
  <si>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</si>
  <si>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</si>
  <si>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</si>
  <si>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</si>
  <si>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</si>
  <si>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</si>
  <si>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</si>
  <si>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</si>
  <si>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</si>
  <si>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</si>
  <si>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</si>
  <si>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</si>
  <si>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</si>
  <si>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</si>
  <si>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</si>
  <si>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</si>
  <si>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</si>
  <si>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</si>
  <si>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</si>
  <si>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</si>
  <si>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Nije dopušteno dodavanje novih radnih listova, promjena naziva postojećih listova, premještanje radnih listova u drugu datoteku, zaštita radne knjige ili dijeljenje radne knjige. Bilo kakve izmjene na strukturi Excel datoteke mogu izazvati da datoteka postane nečitka za učitavanje. Upišete li u polja predviđena za popunjavanje umjesto konkretnih podataka linkove na neke druge dokumente, Excel datoteka će biti neupotrebljiva za učitavanje.</t>
  </si>
  <si>
    <t>Trgovina na malo sagovima i prostiračima za pod, zidnim i podnim oblogama u specijaliziranim prodavaonicama</t>
  </si>
  <si>
    <t>4754</t>
  </si>
  <si>
    <t>Proizvodnja keramičkih proizvoda za kućanstvo i ukrasnih predmeta</t>
  </si>
  <si>
    <t>2342</t>
  </si>
  <si>
    <t xml:space="preserve">Proizvodnja sanitarne keramike </t>
  </si>
  <si>
    <t>2343</t>
  </si>
  <si>
    <t>Proizvodnja keramičkih izolatora i izolacijskog pribora</t>
  </si>
  <si>
    <t>2344</t>
  </si>
  <si>
    <t>Proizvodnja ostalih tehničkih proizvoda od keramike</t>
  </si>
  <si>
    <t>Ova Excel datoteka napravljena je na način da se pokušalo automatizirati i olakšati ručno popunjavanje godišnjeg financijskog izvještaja. Pri tome smo nastojali izbjeći sve probleme i mogućnosti pogreške prilikom popunjavanja, a koje smo primijetili na prijašnjim verzijama Excel datoteka. Pri tome, potrebno se je držati nekih osnovnih pravila koja su dana u nastavku.</t>
  </si>
  <si>
    <t>03467988</t>
  </si>
  <si>
    <t>080007370</t>
  </si>
  <si>
    <t>32247795989</t>
  </si>
  <si>
    <t>CROATIA BANKA d.d.</t>
  </si>
  <si>
    <t>ZAGREB</t>
  </si>
  <si>
    <t>R. Frangeša Mihanovića 9</t>
  </si>
  <si>
    <t>monika.rajkovic@croatiabanka.hr</t>
  </si>
  <si>
    <t>www.croatiabanka.hr</t>
  </si>
  <si>
    <t>DA</t>
  </si>
  <si>
    <t>Monika Rajković</t>
  </si>
  <si>
    <t>012391679</t>
  </si>
  <si>
    <t>012312888</t>
  </si>
  <si>
    <t>01.01.2013</t>
  </si>
  <si>
    <t>31.12.2013</t>
  </si>
  <si>
    <t>Suzana Brenko</t>
  </si>
  <si>
    <t>81744835353</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</si>
</sst>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00000"/>
  </numFmts>
  <fonts count="100">
    <font>
      <sz val="10"/>
      <name val="Arial"/>
      <family val="0"/>
    </font>
    <font>
      <sz val="8"/>
      <name val="Arial"/>
      <family val="2"/>
    </font>
    <font>
      <b/>
      <sz val="9"/>
      <name val="Arial"/>
      <family val="2"/>
    </font>
    <font>
      <sz val="9"/>
      <name val="Arial"/>
      <family val="2"/>
    </font>
    <font>
      <u val="single"/>
      <sz val="10"/>
      <color indexed="12"/>
      <name val="Arial"/>
      <family val="2"/>
    </font>
    <font>
      <sz val="10"/>
      <color indexed="8"/>
      <name val="MS Sans Serif"/>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12"/>
      <color indexed="18"/>
      <name val="Arial Black"/>
      <family val="2"/>
    </font>
    <font>
      <b/>
      <sz val="8"/>
      <color indexed="12"/>
      <name val="Arial"/>
      <family val="2"/>
    </font>
    <font>
      <b/>
      <sz val="9"/>
      <color indexed="12"/>
      <name val="Arial"/>
      <family val="2"/>
    </font>
    <font>
      <b/>
      <sz val="10"/>
      <color indexed="12"/>
      <name val="Arial"/>
      <family val="2"/>
    </font>
    <font>
      <b/>
      <sz val="9"/>
      <color indexed="56"/>
      <name val="Arial"/>
      <family val="2"/>
    </font>
    <font>
      <sz val="8"/>
      <color indexed="9"/>
      <name val="Arial"/>
      <family val="2"/>
    </font>
    <font>
      <sz val="9"/>
      <color indexed="56"/>
      <name val="Arial"/>
      <family val="2"/>
    </font>
    <font>
      <b/>
      <sz val="11"/>
      <color indexed="56"/>
      <name val="Arial Rounded MT Bold"/>
      <family val="2"/>
    </font>
    <font>
      <sz val="8"/>
      <name val="Tahoma"/>
      <family val="2"/>
    </font>
    <font>
      <b/>
      <sz val="8"/>
      <name val="Tahoma"/>
      <family val="2"/>
    </font>
    <font>
      <sz val="8"/>
      <color indexed="22"/>
      <name val="Arial"/>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sz val="10"/>
      <color indexed="9"/>
      <name val="Arial"/>
      <family val="2"/>
    </font>
    <font>
      <b/>
      <sz val="9"/>
      <color indexed="23"/>
      <name val="Arial CE"/>
      <family val="0"/>
    </font>
    <font>
      <b/>
      <sz val="9"/>
      <color indexed="23"/>
      <name val="Arial"/>
      <family val="2"/>
    </font>
    <font>
      <b/>
      <sz val="9"/>
      <color indexed="13"/>
      <name val="Arial"/>
      <family val="2"/>
    </font>
    <font>
      <b/>
      <sz val="7"/>
      <color indexed="9"/>
      <name val="Arial"/>
      <family val="2"/>
    </font>
    <font>
      <sz val="8"/>
      <color indexed="56"/>
      <name val="Arial"/>
      <family val="2"/>
    </font>
    <font>
      <b/>
      <sz val="10"/>
      <color indexed="13"/>
      <name val="Arial"/>
      <family val="2"/>
    </font>
    <font>
      <b/>
      <sz val="14"/>
      <name val="Arial"/>
      <family val="2"/>
    </font>
    <font>
      <b/>
      <sz val="14"/>
      <color indexed="56"/>
      <name val="Arial"/>
      <family val="2"/>
    </font>
    <font>
      <b/>
      <sz val="9"/>
      <color indexed="10"/>
      <name val="Arial"/>
      <family val="2"/>
    </font>
    <font>
      <sz val="8"/>
      <color indexed="12"/>
      <name val="Arial"/>
      <family val="2"/>
    </font>
    <font>
      <b/>
      <sz val="12"/>
      <color indexed="56"/>
      <name val="Arial Rounded MT Bold"/>
      <family val="2"/>
    </font>
    <font>
      <sz val="12"/>
      <color indexed="56"/>
      <name val="Arial"/>
      <family val="2"/>
    </font>
    <font>
      <b/>
      <sz val="12"/>
      <name val="Arial"/>
      <family val="2"/>
    </font>
    <font>
      <b/>
      <u val="single"/>
      <sz val="10"/>
      <color indexed="12"/>
      <name val="Arial"/>
      <family val="2"/>
    </font>
    <font>
      <sz val="9"/>
      <color indexed="18"/>
      <name val="Arial"/>
      <family val="2"/>
    </font>
    <font>
      <b/>
      <sz val="10"/>
      <color indexed="8"/>
      <name val="Arial CE"/>
      <family val="2"/>
    </font>
    <font>
      <strike/>
      <sz val="8"/>
      <color indexed="10"/>
      <name val="Arial"/>
      <family val="2"/>
    </font>
    <font>
      <sz val="9"/>
      <color indexed="8"/>
      <name val="Arial"/>
      <family val="2"/>
    </font>
    <font>
      <sz val="10"/>
      <color indexed="10"/>
      <name val="Arial"/>
      <family val="2"/>
    </font>
    <font>
      <b/>
      <sz val="10"/>
      <color indexed="22"/>
      <name val="Arial"/>
      <family val="2"/>
    </font>
    <font>
      <b/>
      <i/>
      <sz val="8"/>
      <color indexed="56"/>
      <name val="Arial"/>
      <family val="2"/>
    </font>
    <font>
      <b/>
      <sz val="8"/>
      <color indexed="10"/>
      <name val="Arial"/>
      <family val="2"/>
    </font>
    <font>
      <sz val="10"/>
      <color indexed="56"/>
      <name val="Arial"/>
      <family val="2"/>
    </font>
    <font>
      <b/>
      <sz val="10"/>
      <color indexed="56"/>
      <name val="Arial"/>
      <family val="2"/>
    </font>
    <font>
      <b/>
      <sz val="10"/>
      <color indexed="16"/>
      <name val="Arial"/>
      <family val="2"/>
    </font>
    <font>
      <b/>
      <sz val="14"/>
      <color indexed="12"/>
      <name val="Arial"/>
      <family val="2"/>
    </font>
    <font>
      <b/>
      <sz val="8"/>
      <color indexed="12"/>
      <name val="Arial Narrow"/>
      <family val="2"/>
    </font>
    <font>
      <b/>
      <sz val="15"/>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31"/>
      </patternFill>
    </fill>
    <fill>
      <patternFill patternType="solid">
        <fgColor indexed="55"/>
        <bgColor indexed="64"/>
      </patternFill>
    </fill>
    <fill>
      <patternFill patternType="solid">
        <fgColor indexed="23"/>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lightGray">
        <fgColor indexed="22"/>
      </patternFill>
    </fill>
    <fill>
      <patternFill patternType="solid">
        <fgColor indexed="26"/>
        <bgColor indexed="64"/>
      </patternFill>
    </fill>
    <fill>
      <patternFill patternType="solid">
        <fgColor indexed="43"/>
        <bgColor indexed="64"/>
      </patternFill>
    </fill>
    <fill>
      <patternFill patternType="solid">
        <fgColor indexed="27"/>
        <bgColor indexed="64"/>
      </patternFill>
    </fill>
    <fill>
      <patternFill patternType="mediumGray">
        <fgColor indexed="22"/>
      </patternFill>
    </fill>
    <fill>
      <patternFill patternType="solid">
        <fgColor indexed="31"/>
        <bgColor indexed="64"/>
      </patternFill>
    </fill>
    <fill>
      <patternFill patternType="lightGray">
        <fgColor indexed="43"/>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gray125">
        <fgColor indexed="22"/>
        <bgColor indexed="22"/>
      </patternFill>
    </fill>
    <fill>
      <patternFill patternType="solid">
        <fgColor indexed="9"/>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thin"/>
      <bottom style="thin"/>
    </border>
    <border>
      <left style="hair"/>
      <right style="thin"/>
      <top style="thin"/>
      <bottom style="thin"/>
    </border>
    <border>
      <left style="thin"/>
      <right>
        <color indexed="63"/>
      </right>
      <top>
        <color indexed="63"/>
      </top>
      <bottom style="thin"/>
    </border>
    <border>
      <left style="hair"/>
      <right style="thin"/>
      <top>
        <color indexed="63"/>
      </top>
      <bottom style="thin"/>
    </border>
    <border>
      <left style="thin"/>
      <right style="hair"/>
      <top style="hair"/>
      <bottom style="hair"/>
    </border>
    <border>
      <left style="thin"/>
      <right style="hair"/>
      <top style="hair"/>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hair"/>
      <right style="thin"/>
      <top style="hair"/>
      <bottom style="hair"/>
    </border>
    <border>
      <left style="hair"/>
      <right style="thin"/>
      <top style="hair"/>
      <bottom style="thin"/>
    </border>
    <border>
      <left style="thin"/>
      <right style="thin">
        <color indexed="9"/>
      </right>
      <top style="thin"/>
      <bottom style="thin"/>
    </border>
    <border>
      <left style="thin">
        <color indexed="9"/>
      </left>
      <right style="thin"/>
      <top style="thin"/>
      <bottom style="thin"/>
    </border>
    <border>
      <left style="thin"/>
      <right style="hair"/>
      <top style="thin"/>
      <bottom style="hair"/>
    </border>
    <border>
      <left style="hair"/>
      <right style="thin"/>
      <top style="thin"/>
      <bottom style="hair"/>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top style="thin">
        <color indexed="9"/>
      </top>
      <bottom style="thin"/>
    </border>
    <border>
      <left style="thin"/>
      <right style="thin">
        <color indexed="9"/>
      </right>
      <top style="thin"/>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top style="thin"/>
      <bottom style="medium">
        <color indexed="22"/>
      </bottom>
    </border>
    <border>
      <left style="thin"/>
      <right style="thin"/>
      <top style="medium">
        <color indexed="22"/>
      </top>
      <bottom style="thin">
        <color indexed="12"/>
      </bottom>
    </border>
    <border>
      <left style="thin"/>
      <right style="thin"/>
      <top style="medium">
        <color indexed="22"/>
      </top>
      <bottom style="thin"/>
    </border>
    <border>
      <left style="thin"/>
      <right>
        <color indexed="63"/>
      </right>
      <top style="thin"/>
      <bottom style="medium">
        <color indexed="22"/>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hair"/>
    </border>
    <border>
      <left>
        <color indexed="63"/>
      </left>
      <right style="thin"/>
      <top style="thin"/>
      <bottom>
        <color indexed="63"/>
      </bottom>
    </border>
    <border>
      <left style="thin">
        <color indexed="22"/>
      </left>
      <right style="thin">
        <color indexed="22"/>
      </right>
      <top>
        <color indexed="63"/>
      </top>
      <bottom style="thin">
        <color indexed="22"/>
      </bottom>
    </border>
    <border>
      <left style="thin"/>
      <right>
        <color indexed="63"/>
      </right>
      <top style="thin"/>
      <bottom style="thin">
        <color indexed="22"/>
      </bottom>
    </border>
    <border>
      <left style="thin"/>
      <right style="thin"/>
      <top style="thin"/>
      <bottom style="thin">
        <color indexed="22"/>
      </bottom>
    </border>
    <border>
      <left style="thin"/>
      <right>
        <color indexed="63"/>
      </right>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border>
    <border>
      <left style="thin"/>
      <right style="thin"/>
      <top style="thin">
        <color indexed="22"/>
      </top>
      <bottom style="thin"/>
    </border>
    <border>
      <left>
        <color indexed="63"/>
      </left>
      <right>
        <color indexed="63"/>
      </right>
      <top style="thin">
        <color indexed="22"/>
      </top>
      <bottom style="thin"/>
    </border>
    <border>
      <left>
        <color indexed="63"/>
      </left>
      <right style="thin"/>
      <top style="thin">
        <color indexed="22"/>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thin">
        <color indexed="22"/>
      </bottom>
    </border>
    <border>
      <left>
        <color indexed="63"/>
      </left>
      <right style="thin"/>
      <top style="thin"/>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color indexed="22"/>
      </left>
      <right>
        <color indexed="63"/>
      </right>
      <top>
        <color indexed="63"/>
      </top>
      <bottom style="thin">
        <color indexed="22"/>
      </bottom>
    </border>
    <border>
      <left>
        <color indexed="63"/>
      </left>
      <right style="thin">
        <color indexed="22"/>
      </right>
      <top>
        <color indexed="63"/>
      </top>
      <bottom style="thin">
        <color indexed="22"/>
      </bottom>
    </border>
    <border>
      <left>
        <color indexed="63"/>
      </left>
      <right>
        <color indexed="63"/>
      </right>
      <top style="medium"/>
      <bottom>
        <color indexed="63"/>
      </bottom>
    </border>
    <border>
      <left>
        <color indexed="63"/>
      </left>
      <right>
        <color indexed="63"/>
      </right>
      <top>
        <color indexed="63"/>
      </top>
      <bottom style="thin">
        <color indexed="22"/>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medium">
        <color indexed="22"/>
      </top>
      <bottom style="thin"/>
    </border>
    <border>
      <left>
        <color indexed="63"/>
      </left>
      <right>
        <color indexed="63"/>
      </right>
      <top style="medium">
        <color indexed="22"/>
      </top>
      <bottom style="thin"/>
    </border>
    <border>
      <left>
        <color indexed="63"/>
      </left>
      <right style="thin"/>
      <top style="medium">
        <color indexed="22"/>
      </top>
      <bottom style="thin"/>
    </border>
    <border>
      <left style="thin"/>
      <right>
        <color indexed="63"/>
      </right>
      <top>
        <color indexed="63"/>
      </top>
      <bottom style="medium">
        <color indexed="22"/>
      </bottom>
    </border>
    <border>
      <left>
        <color indexed="63"/>
      </left>
      <right>
        <color indexed="63"/>
      </right>
      <top>
        <color indexed="63"/>
      </top>
      <bottom style="medium">
        <color indexed="22"/>
      </bottom>
    </border>
    <border>
      <left>
        <color indexed="63"/>
      </left>
      <right style="thin"/>
      <top>
        <color indexed="63"/>
      </top>
      <bottom style="medium">
        <color indexed="22"/>
      </bottom>
    </border>
    <border>
      <left style="thin"/>
      <right style="thin"/>
      <top style="thin"/>
      <bottom>
        <color indexed="63"/>
      </bottom>
    </border>
    <border>
      <left style="thin"/>
      <right style="thin"/>
      <top>
        <color indexed="63"/>
      </top>
      <bottom style="medium">
        <color indexed="22"/>
      </bottom>
    </border>
    <border>
      <left style="thin"/>
      <right>
        <color indexed="63"/>
      </right>
      <top style="medium">
        <color indexed="22"/>
      </top>
      <bottom style="thin">
        <color indexed="12"/>
      </bottom>
    </border>
    <border>
      <left>
        <color indexed="63"/>
      </left>
      <right style="thin"/>
      <top style="medium">
        <color indexed="22"/>
      </top>
      <bottom style="thin">
        <color indexed="12"/>
      </bottom>
    </border>
    <border>
      <left>
        <color indexed="63"/>
      </left>
      <right>
        <color indexed="63"/>
      </right>
      <top style="medium">
        <color indexed="22"/>
      </top>
      <bottom style="thin">
        <color indexed="12"/>
      </bottom>
    </border>
    <border>
      <left style="thin"/>
      <right style="thin"/>
      <top>
        <color indexed="63"/>
      </top>
      <bottom style="thin">
        <color indexed="12"/>
      </bottom>
    </border>
    <border>
      <left style="hair"/>
      <right style="hair"/>
      <top style="thin"/>
      <bottom style="thin"/>
    </border>
    <border>
      <left style="thin"/>
      <right style="hair"/>
      <top style="thin"/>
      <bottom style="thin"/>
    </border>
    <border>
      <left style="thin"/>
      <right style="hair"/>
      <top>
        <color indexed="63"/>
      </top>
      <bottom style="thin"/>
    </border>
    <border>
      <left style="hair"/>
      <right style="hair"/>
      <top>
        <color indexed="63"/>
      </top>
      <bottom style="thin"/>
    </border>
    <border>
      <left style="medium">
        <color indexed="56"/>
      </left>
      <right style="medium">
        <color indexed="56"/>
      </right>
      <top style="medium">
        <color indexed="56"/>
      </top>
      <bottom>
        <color indexed="63"/>
      </bottom>
    </border>
    <border>
      <left style="hair"/>
      <right>
        <color indexed="63"/>
      </right>
      <top style="thin"/>
      <bottom style="hair"/>
    </border>
    <border>
      <left style="hair"/>
      <right>
        <color indexed="63"/>
      </right>
      <top style="hair"/>
      <bottom style="hair"/>
    </border>
    <border>
      <left style="thin">
        <color indexed="9"/>
      </left>
      <right style="thin">
        <color indexed="9"/>
      </right>
      <top style="thin"/>
      <bottom style="thin"/>
    </border>
    <border>
      <left style="hair"/>
      <right>
        <color indexed="63"/>
      </right>
      <top style="hair"/>
      <bottom style="thin"/>
    </border>
    <border>
      <left style="hair"/>
      <right style="hair"/>
      <top style="hair"/>
      <bottom style="thin"/>
    </border>
    <border>
      <left style="hair"/>
      <right style="hair"/>
      <top style="hair"/>
      <bottom style="hair"/>
    </border>
    <border>
      <left style="thin">
        <color indexed="9"/>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0" fontId="86" fillId="27" borderId="1" applyNumberFormat="0" applyAlignment="0" applyProtection="0"/>
    <xf numFmtId="0" fontId="8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8" fillId="0" borderId="0" applyNumberFormat="0" applyFill="0" applyBorder="0" applyAlignment="0" applyProtection="0"/>
    <xf numFmtId="0" fontId="6"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4"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5" fillId="0" borderId="0">
      <alignment/>
      <protection/>
    </xf>
    <xf numFmtId="0" fontId="0" fillId="32" borderId="7" applyNumberFormat="0" applyFont="0" applyAlignment="0" applyProtection="0"/>
    <xf numFmtId="0" fontId="3" fillId="0" borderId="0">
      <alignment/>
      <protection/>
    </xf>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741">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0" fontId="0" fillId="0" borderId="0" xfId="0" applyFill="1" applyBorder="1" applyAlignment="1">
      <alignment/>
    </xf>
    <xf numFmtId="167" fontId="2" fillId="0" borderId="13" xfId="0" applyNumberFormat="1" applyFont="1" applyFill="1" applyBorder="1" applyAlignment="1">
      <alignment horizontal="center" vertical="center"/>
    </xf>
    <xf numFmtId="0" fontId="19" fillId="0" borderId="0" xfId="0" applyFont="1" applyAlignment="1">
      <alignment/>
    </xf>
    <xf numFmtId="167" fontId="20" fillId="0" borderId="13" xfId="0" applyNumberFormat="1" applyFont="1" applyFill="1" applyBorder="1" applyAlignment="1">
      <alignment horizontal="center" vertical="center"/>
    </xf>
    <xf numFmtId="0" fontId="10" fillId="0" borderId="14" xfId="0" applyFont="1" applyBorder="1" applyAlignment="1">
      <alignment horizontal="right" indent="1"/>
    </xf>
    <xf numFmtId="1" fontId="0" fillId="0" borderId="15" xfId="0" applyNumberFormat="1" applyBorder="1" applyAlignment="1" applyProtection="1">
      <alignment/>
      <protection locked="0"/>
    </xf>
    <xf numFmtId="0" fontId="10" fillId="0" borderId="16" xfId="0" applyFont="1" applyBorder="1" applyAlignment="1">
      <alignment horizontal="right" indent="1"/>
    </xf>
    <xf numFmtId="1" fontId="0" fillId="0" borderId="17" xfId="0" applyNumberFormat="1" applyBorder="1" applyAlignment="1" applyProtection="1">
      <alignment/>
      <protection locked="0"/>
    </xf>
    <xf numFmtId="0" fontId="3" fillId="0" borderId="0" xfId="59">
      <alignment/>
      <protection/>
    </xf>
    <xf numFmtId="0" fontId="22" fillId="0" borderId="18" xfId="59" applyFont="1" applyBorder="1" applyAlignment="1">
      <alignment horizontal="right" vertical="center"/>
      <protection/>
    </xf>
    <xf numFmtId="0" fontId="22" fillId="0" borderId="19" xfId="59" applyFont="1" applyBorder="1" applyAlignment="1">
      <alignment horizontal="right" vertical="center"/>
      <protection/>
    </xf>
    <xf numFmtId="49" fontId="0" fillId="0" borderId="0" xfId="0" applyNumberFormat="1" applyAlignment="1">
      <alignment/>
    </xf>
    <xf numFmtId="0" fontId="0" fillId="0" borderId="20" xfId="0" applyBorder="1" applyAlignment="1">
      <alignment/>
    </xf>
    <xf numFmtId="0" fontId="0" fillId="0" borderId="0" xfId="0" applyBorder="1" applyAlignment="1">
      <alignment/>
    </xf>
    <xf numFmtId="0" fontId="0" fillId="0" borderId="21" xfId="0" applyBorder="1" applyAlignment="1">
      <alignment/>
    </xf>
    <xf numFmtId="0" fontId="0" fillId="0" borderId="16" xfId="0" applyBorder="1" applyAlignment="1">
      <alignment/>
    </xf>
    <xf numFmtId="0" fontId="0" fillId="0" borderId="22" xfId="0" applyBorder="1" applyAlignment="1">
      <alignment/>
    </xf>
    <xf numFmtId="0" fontId="0" fillId="0" borderId="23" xfId="0" applyBorder="1" applyAlignment="1">
      <alignment/>
    </xf>
    <xf numFmtId="3" fontId="0" fillId="0" borderId="0" xfId="0" applyNumberFormat="1" applyFill="1" applyAlignment="1">
      <alignment/>
    </xf>
    <xf numFmtId="3" fontId="1" fillId="0" borderId="0" xfId="0" applyNumberFormat="1" applyFont="1" applyFill="1" applyBorder="1" applyAlignment="1">
      <alignment vertical="center"/>
    </xf>
    <xf numFmtId="1" fontId="0" fillId="0" borderId="0" xfId="0" applyNumberFormat="1" applyAlignment="1">
      <alignment/>
    </xf>
    <xf numFmtId="0" fontId="0" fillId="0" borderId="0" xfId="0" applyAlignment="1">
      <alignment wrapText="1"/>
    </xf>
    <xf numFmtId="0" fontId="0" fillId="0" borderId="0" xfId="0" applyAlignment="1">
      <alignment vertical="center"/>
    </xf>
    <xf numFmtId="0" fontId="0" fillId="0" borderId="24" xfId="0" applyBorder="1" applyAlignment="1">
      <alignment/>
    </xf>
    <xf numFmtId="49" fontId="0" fillId="0" borderId="24" xfId="0" applyNumberFormat="1" applyBorder="1" applyAlignment="1">
      <alignment/>
    </xf>
    <xf numFmtId="0" fontId="0" fillId="0" borderId="25" xfId="0" applyFill="1" applyBorder="1" applyAlignment="1">
      <alignment/>
    </xf>
    <xf numFmtId="2" fontId="0" fillId="0" borderId="0" xfId="0" applyNumberFormat="1" applyAlignment="1">
      <alignment/>
    </xf>
    <xf numFmtId="0" fontId="0" fillId="0" borderId="0" xfId="0" applyBorder="1" applyAlignment="1" applyProtection="1">
      <alignment/>
      <protection hidden="1"/>
    </xf>
    <xf numFmtId="49" fontId="0" fillId="0" borderId="0" xfId="0" applyNumberFormat="1" applyBorder="1" applyAlignment="1">
      <alignment/>
    </xf>
    <xf numFmtId="0" fontId="0" fillId="0" borderId="0" xfId="0" applyAlignment="1">
      <alignment horizontal="right"/>
    </xf>
    <xf numFmtId="2" fontId="0" fillId="0" borderId="24" xfId="0" applyNumberFormat="1" applyBorder="1" applyAlignment="1">
      <alignment/>
    </xf>
    <xf numFmtId="0" fontId="34" fillId="0" borderId="26" xfId="0" applyFont="1" applyBorder="1" applyAlignment="1" applyProtection="1">
      <alignment horizontal="center" vertical="center"/>
      <protection hidden="1"/>
    </xf>
    <xf numFmtId="0" fontId="14" fillId="0" borderId="16" xfId="0" applyFont="1" applyFill="1" applyBorder="1" applyAlignment="1" applyProtection="1">
      <alignment horizontal="center" vertical="top" wrapText="1"/>
      <protection hidden="1"/>
    </xf>
    <xf numFmtId="0" fontId="0" fillId="0" borderId="22" xfId="0" applyBorder="1" applyAlignment="1">
      <alignment horizontal="center" wrapText="1"/>
    </xf>
    <xf numFmtId="0" fontId="14" fillId="0" borderId="16" xfId="0" applyFont="1" applyFill="1" applyBorder="1" applyAlignment="1">
      <alignment horizontal="center" vertical="top" wrapText="1"/>
    </xf>
    <xf numFmtId="0" fontId="13" fillId="0" borderId="22" xfId="0" applyFont="1" applyBorder="1" applyAlignment="1">
      <alignment horizontal="center" vertical="top" wrapText="1"/>
    </xf>
    <xf numFmtId="4" fontId="0" fillId="0" borderId="0" xfId="0" applyNumberFormat="1" applyAlignment="1">
      <alignment vertical="center"/>
    </xf>
    <xf numFmtId="3" fontId="0" fillId="0" borderId="0" xfId="0" applyNumberFormat="1" applyAlignment="1">
      <alignment vertical="center"/>
    </xf>
    <xf numFmtId="49" fontId="0" fillId="0" borderId="0" xfId="0" applyNumberFormat="1" applyAlignment="1">
      <alignment vertical="center"/>
    </xf>
    <xf numFmtId="1" fontId="0" fillId="0" borderId="0" xfId="0" applyNumberFormat="1" applyAlignment="1">
      <alignment vertical="center"/>
    </xf>
    <xf numFmtId="0" fontId="14" fillId="0" borderId="0" xfId="0" applyFont="1" applyFill="1" applyBorder="1" applyAlignment="1" applyProtection="1">
      <alignment horizontal="center" vertical="top" wrapText="1"/>
      <protection hidden="1"/>
    </xf>
    <xf numFmtId="0" fontId="1" fillId="0" borderId="20" xfId="0" applyFont="1" applyFill="1" applyBorder="1" applyAlignment="1">
      <alignment vertical="center"/>
    </xf>
    <xf numFmtId="0" fontId="13" fillId="0" borderId="0" xfId="0" applyFont="1" applyFill="1" applyBorder="1" applyAlignment="1" applyProtection="1">
      <alignment horizontal="center" vertical="top" wrapText="1"/>
      <protection hidden="1"/>
    </xf>
    <xf numFmtId="0" fontId="15" fillId="0" borderId="0" xfId="0" applyFont="1" applyFill="1" applyBorder="1" applyAlignment="1" applyProtection="1">
      <alignment horizontal="center" vertical="center" wrapText="1"/>
      <protection hidden="1"/>
    </xf>
    <xf numFmtId="0" fontId="15" fillId="33" borderId="0" xfId="0" applyFont="1" applyFill="1" applyBorder="1" applyAlignment="1">
      <alignment horizontal="center" vertical="center" wrapText="1"/>
    </xf>
    <xf numFmtId="0" fontId="0" fillId="0" borderId="22" xfId="0" applyBorder="1" applyAlignment="1" applyProtection="1">
      <alignment horizontal="center" vertical="top" wrapText="1"/>
      <protection hidden="1"/>
    </xf>
    <xf numFmtId="0" fontId="1" fillId="0" borderId="0" xfId="0" applyFont="1" applyFill="1" applyBorder="1" applyAlignment="1" applyProtection="1">
      <alignment vertical="center"/>
      <protection hidden="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14" fillId="0" borderId="20" xfId="0" applyFont="1" applyFill="1" applyBorder="1" applyAlignment="1">
      <alignment horizontal="center" vertical="top" wrapText="1"/>
    </xf>
    <xf numFmtId="0" fontId="0" fillId="0" borderId="0" xfId="0" applyBorder="1" applyAlignment="1">
      <alignment horizontal="center" wrapText="1"/>
    </xf>
    <xf numFmtId="0" fontId="14" fillId="0" borderId="22" xfId="0" applyFont="1" applyFill="1" applyBorder="1" applyAlignment="1">
      <alignment horizontal="center" vertical="top" wrapText="1"/>
    </xf>
    <xf numFmtId="1" fontId="0" fillId="0" borderId="24" xfId="0" applyNumberFormat="1" applyBorder="1" applyAlignment="1">
      <alignment/>
    </xf>
    <xf numFmtId="1" fontId="0" fillId="0" borderId="20" xfId="0" applyNumberFormat="1" applyBorder="1" applyAlignment="1">
      <alignment/>
    </xf>
    <xf numFmtId="1" fontId="0" fillId="0" borderId="21" xfId="0" applyNumberFormat="1" applyBorder="1" applyAlignment="1">
      <alignment/>
    </xf>
    <xf numFmtId="1" fontId="0" fillId="0" borderId="0" xfId="0" applyNumberFormat="1" applyBorder="1" applyAlignment="1">
      <alignment/>
    </xf>
    <xf numFmtId="0" fontId="0" fillId="0" borderId="0" xfId="0" applyAlignment="1">
      <alignment vertical="top" wrapText="1"/>
    </xf>
    <xf numFmtId="0" fontId="0" fillId="0" borderId="0" xfId="0" applyAlignment="1">
      <alignment/>
    </xf>
    <xf numFmtId="0" fontId="22" fillId="0" borderId="27" xfId="59" applyFont="1" applyBorder="1" applyAlignment="1">
      <alignment horizontal="left" vertical="center"/>
      <protection/>
    </xf>
    <xf numFmtId="0" fontId="22" fillId="0" borderId="28" xfId="59" applyFont="1" applyBorder="1" applyAlignment="1">
      <alignment horizontal="left" vertical="center"/>
      <protection/>
    </xf>
    <xf numFmtId="0" fontId="31" fillId="34" borderId="29" xfId="59" applyFont="1" applyFill="1" applyBorder="1" applyAlignment="1">
      <alignment horizontal="center" vertical="center" wrapText="1"/>
      <protection/>
    </xf>
    <xf numFmtId="0" fontId="31" fillId="34" borderId="30" xfId="59" applyFont="1" applyFill="1" applyBorder="1" applyAlignment="1">
      <alignment horizontal="center" vertical="center" wrapText="1"/>
      <protection/>
    </xf>
    <xf numFmtId="0" fontId="38" fillId="0" borderId="31" xfId="59" applyFont="1" applyBorder="1" applyAlignment="1">
      <alignment horizontal="center" vertical="center"/>
      <protection/>
    </xf>
    <xf numFmtId="0" fontId="38" fillId="0" borderId="18" xfId="59" applyFont="1" applyBorder="1" applyAlignment="1">
      <alignment horizontal="center" vertical="center"/>
      <protection/>
    </xf>
    <xf numFmtId="0" fontId="39" fillId="0" borderId="18" xfId="59" applyFont="1" applyBorder="1" applyAlignment="1">
      <alignment horizontal="center" vertical="center"/>
      <protection/>
    </xf>
    <xf numFmtId="0" fontId="39" fillId="0" borderId="27" xfId="59" applyFont="1" applyBorder="1" applyAlignment="1">
      <alignment horizontal="left" vertical="center"/>
      <protection/>
    </xf>
    <xf numFmtId="0" fontId="39" fillId="0" borderId="19" xfId="59" applyFont="1" applyBorder="1" applyAlignment="1">
      <alignment horizontal="center" vertical="center"/>
      <protection/>
    </xf>
    <xf numFmtId="0" fontId="38" fillId="0" borderId="32" xfId="59" applyFont="1" applyBorder="1" applyAlignment="1">
      <alignment horizontal="left" vertical="center"/>
      <protection/>
    </xf>
    <xf numFmtId="0" fontId="38" fillId="0" borderId="27" xfId="59" applyFont="1" applyBorder="1" applyAlignment="1">
      <alignment horizontal="left" vertical="center"/>
      <protection/>
    </xf>
    <xf numFmtId="0" fontId="39" fillId="0" borderId="31" xfId="0" applyFont="1" applyBorder="1" applyAlignment="1">
      <alignment horizontal="center" vertical="center"/>
    </xf>
    <xf numFmtId="0" fontId="39" fillId="0" borderId="18" xfId="0" applyFont="1" applyBorder="1" applyAlignment="1">
      <alignment horizontal="center" vertical="center"/>
    </xf>
    <xf numFmtId="0" fontId="39" fillId="0" borderId="19" xfId="0" applyFont="1" applyBorder="1" applyAlignment="1">
      <alignment horizontal="center" vertical="center"/>
    </xf>
    <xf numFmtId="0" fontId="36" fillId="35" borderId="29" xfId="0" applyFont="1" applyFill="1" applyBorder="1" applyAlignment="1" applyProtection="1">
      <alignment horizontal="center" vertical="center" wrapText="1"/>
      <protection hidden="1"/>
    </xf>
    <xf numFmtId="0" fontId="0" fillId="0" borderId="0" xfId="0" applyAlignment="1">
      <alignment vertical="center" wrapText="1"/>
    </xf>
    <xf numFmtId="0" fontId="1" fillId="0" borderId="0" xfId="0" applyFont="1" applyAlignment="1">
      <alignment vertical="top" wrapText="1"/>
    </xf>
    <xf numFmtId="0" fontId="1" fillId="0" borderId="0" xfId="0" applyFont="1" applyAlignment="1">
      <alignment wrapText="1"/>
    </xf>
    <xf numFmtId="0" fontId="1" fillId="0" borderId="0" xfId="0" applyFont="1" applyAlignment="1">
      <alignment/>
    </xf>
    <xf numFmtId="0" fontId="0" fillId="0" borderId="0" xfId="0" applyAlignment="1" applyProtection="1">
      <alignment/>
      <protection hidden="1"/>
    </xf>
    <xf numFmtId="0" fontId="40" fillId="36" borderId="33" xfId="53" applyFont="1" applyFill="1" applyBorder="1" applyAlignment="1" applyProtection="1">
      <alignment horizontal="center" vertical="center" shrinkToFit="1"/>
      <protection/>
    </xf>
    <xf numFmtId="0" fontId="40" fillId="36" borderId="34" xfId="53" applyFont="1" applyFill="1" applyBorder="1" applyAlignment="1" applyProtection="1">
      <alignment horizontal="center" vertical="center" shrinkToFit="1"/>
      <protection/>
    </xf>
    <xf numFmtId="0" fontId="36" fillId="36" borderId="35" xfId="53" applyFont="1" applyFill="1" applyBorder="1" applyAlignment="1" applyProtection="1">
      <alignment horizontal="center" vertical="center" shrinkToFit="1"/>
      <protection/>
    </xf>
    <xf numFmtId="0" fontId="40" fillId="36" borderId="36" xfId="53" applyFont="1" applyFill="1" applyBorder="1" applyAlignment="1" applyProtection="1">
      <alignment horizontal="center" vertical="center" shrinkToFit="1"/>
      <protection/>
    </xf>
    <xf numFmtId="0" fontId="36" fillId="36" borderId="37" xfId="53" applyFont="1" applyFill="1" applyBorder="1" applyAlignment="1" applyProtection="1">
      <alignment horizontal="center" vertical="center" shrinkToFit="1"/>
      <protection/>
    </xf>
    <xf numFmtId="0" fontId="36" fillId="36" borderId="38" xfId="53" applyFont="1" applyFill="1" applyBorder="1" applyAlignment="1" applyProtection="1">
      <alignment horizontal="center" vertical="center" shrinkToFit="1"/>
      <protection/>
    </xf>
    <xf numFmtId="0" fontId="31" fillId="36" borderId="38" xfId="53" applyFont="1" applyFill="1" applyBorder="1" applyAlignment="1" applyProtection="1">
      <alignment horizontal="center" vertical="center" shrinkToFit="1"/>
      <protection/>
    </xf>
    <xf numFmtId="0" fontId="0" fillId="0" borderId="24" xfId="0" applyBorder="1" applyAlignment="1">
      <alignment horizontal="center" vertical="center"/>
    </xf>
    <xf numFmtId="0" fontId="35" fillId="34" borderId="39" xfId="0" applyFont="1" applyFill="1" applyBorder="1" applyAlignment="1">
      <alignment horizontal="center" vertical="center"/>
    </xf>
    <xf numFmtId="0" fontId="35" fillId="34" borderId="40" xfId="0" applyFont="1" applyFill="1" applyBorder="1" applyAlignment="1">
      <alignment horizontal="center" vertical="center"/>
    </xf>
    <xf numFmtId="0" fontId="36" fillId="34" borderId="39" xfId="0" applyFont="1" applyFill="1" applyBorder="1" applyAlignment="1">
      <alignment horizontal="center" vertical="center" wrapText="1"/>
    </xf>
    <xf numFmtId="0" fontId="35" fillId="34" borderId="39" xfId="0" applyFont="1" applyFill="1" applyBorder="1" applyAlignment="1">
      <alignment horizontal="center" vertical="center" wrapText="1"/>
    </xf>
    <xf numFmtId="0" fontId="35" fillId="34" borderId="41" xfId="0" applyFont="1" applyFill="1" applyBorder="1" applyAlignment="1">
      <alignment horizontal="center" vertical="center" wrapText="1"/>
    </xf>
    <xf numFmtId="0" fontId="35" fillId="34" borderId="41" xfId="0" applyFont="1" applyFill="1" applyBorder="1" applyAlignment="1">
      <alignment horizontal="center" vertical="center"/>
    </xf>
    <xf numFmtId="0" fontId="36" fillId="34" borderId="39" xfId="0" applyFont="1" applyFill="1" applyBorder="1" applyAlignment="1" applyProtection="1">
      <alignment horizontal="center" vertical="center" wrapText="1"/>
      <protection hidden="1"/>
    </xf>
    <xf numFmtId="0" fontId="35" fillId="34" borderId="39"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protection hidden="1"/>
    </xf>
    <xf numFmtId="0" fontId="35" fillId="34" borderId="42" xfId="0" applyFont="1" applyFill="1" applyBorder="1" applyAlignment="1" applyProtection="1">
      <alignment horizontal="center" vertical="center" wrapText="1"/>
      <protection hidden="1"/>
    </xf>
    <xf numFmtId="0" fontId="21" fillId="0" borderId="20" xfId="0" applyFont="1" applyBorder="1" applyAlignment="1">
      <alignment/>
    </xf>
    <xf numFmtId="0" fontId="34" fillId="0" borderId="26" xfId="0" applyFont="1" applyBorder="1" applyAlignment="1" applyProtection="1">
      <alignment horizontal="center" vertical="center"/>
      <protection hidden="1" locked="0"/>
    </xf>
    <xf numFmtId="0" fontId="43" fillId="36" borderId="33" xfId="53" applyFont="1" applyFill="1" applyBorder="1" applyAlignment="1" applyProtection="1">
      <alignment horizontal="center" vertical="center" shrinkToFit="1"/>
      <protection/>
    </xf>
    <xf numFmtId="0" fontId="31" fillId="34" borderId="24" xfId="0" applyFont="1" applyFill="1" applyBorder="1" applyAlignment="1" applyProtection="1">
      <alignment horizontal="right" vertical="center"/>
      <protection hidden="1"/>
    </xf>
    <xf numFmtId="0" fontId="2" fillId="37" borderId="14" xfId="0" applyFont="1" applyFill="1" applyBorder="1" applyAlignment="1" applyProtection="1">
      <alignment horizontal="center" vertical="center" wrapText="1"/>
      <protection hidden="1"/>
    </xf>
    <xf numFmtId="0" fontId="1" fillId="0" borderId="0" xfId="0" applyFont="1" applyBorder="1" applyAlignment="1" applyProtection="1">
      <alignment vertical="top"/>
      <protection hidden="1"/>
    </xf>
    <xf numFmtId="0" fontId="23" fillId="0" borderId="0" xfId="0" applyFont="1" applyFill="1" applyBorder="1" applyAlignment="1" applyProtection="1">
      <alignment vertical="center"/>
      <protection hidden="1"/>
    </xf>
    <xf numFmtId="3" fontId="0" fillId="38" borderId="0" xfId="0" applyNumberFormat="1" applyFill="1" applyAlignment="1">
      <alignment wrapText="1"/>
    </xf>
    <xf numFmtId="3" fontId="0" fillId="0" borderId="0" xfId="0" applyNumberFormat="1" applyFill="1" applyAlignment="1">
      <alignment wrapText="1"/>
    </xf>
    <xf numFmtId="0" fontId="15" fillId="0" borderId="0" xfId="0" applyFont="1" applyAlignment="1">
      <alignment wrapText="1"/>
    </xf>
    <xf numFmtId="3" fontId="0" fillId="0" borderId="0" xfId="0" applyNumberFormat="1" applyAlignment="1">
      <alignment wrapText="1"/>
    </xf>
    <xf numFmtId="49" fontId="35" fillId="34" borderId="41" xfId="0" applyNumberFormat="1" applyFont="1" applyFill="1" applyBorder="1" applyAlignment="1">
      <alignment horizontal="center" vertical="center" wrapText="1"/>
    </xf>
    <xf numFmtId="49" fontId="35" fillId="34" borderId="41" xfId="0" applyNumberFormat="1" applyFont="1" applyFill="1" applyBorder="1" applyAlignment="1">
      <alignment horizontal="center" vertical="center"/>
    </xf>
    <xf numFmtId="49" fontId="35" fillId="34" borderId="41" xfId="0" applyNumberFormat="1" applyFont="1" applyFill="1" applyBorder="1" applyAlignment="1" applyProtection="1">
      <alignment horizontal="center" vertical="center"/>
      <protection hidden="1"/>
    </xf>
    <xf numFmtId="1" fontId="23" fillId="0" borderId="0" xfId="0" applyNumberFormat="1" applyFont="1" applyFill="1" applyBorder="1" applyAlignment="1" applyProtection="1">
      <alignment vertical="center"/>
      <protection hidden="1"/>
    </xf>
    <xf numFmtId="0" fontId="19" fillId="37" borderId="24" xfId="0" applyFont="1" applyFill="1" applyBorder="1" applyAlignment="1">
      <alignment horizontal="center" vertical="center"/>
    </xf>
    <xf numFmtId="0" fontId="0" fillId="0" borderId="0" xfId="0" applyAlignment="1" applyProtection="1">
      <alignment wrapText="1"/>
      <protection hidden="1"/>
    </xf>
    <xf numFmtId="1" fontId="32" fillId="39" borderId="43" xfId="0" applyNumberFormat="1" applyFont="1" applyFill="1" applyBorder="1" applyAlignment="1" applyProtection="1">
      <alignment horizontal="right" vertical="center" shrinkToFit="1"/>
      <protection hidden="1" locked="0"/>
    </xf>
    <xf numFmtId="0" fontId="10" fillId="0" borderId="44" xfId="0" applyFont="1" applyFill="1" applyBorder="1" applyAlignment="1" applyProtection="1">
      <alignment horizontal="center" vertical="center" wrapText="1"/>
      <protection hidden="1"/>
    </xf>
    <xf numFmtId="0" fontId="23" fillId="0" borderId="45" xfId="0" applyFont="1" applyFill="1" applyBorder="1" applyAlignment="1" applyProtection="1">
      <alignment horizontal="center" vertical="center"/>
      <protection hidden="1"/>
    </xf>
    <xf numFmtId="0" fontId="23" fillId="0" borderId="45"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1" fillId="0" borderId="20"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right" vertical="center"/>
      <protection hidden="1"/>
    </xf>
    <xf numFmtId="0" fontId="0" fillId="0" borderId="0" xfId="0" applyAlignment="1" applyProtection="1">
      <alignment horizontal="right"/>
      <protection hidden="1"/>
    </xf>
    <xf numFmtId="0" fontId="1" fillId="0" borderId="0" xfId="0" applyFont="1" applyFill="1" applyBorder="1" applyAlignment="1" applyProtection="1">
      <alignment horizontal="center" vertical="center"/>
      <protection hidden="1"/>
    </xf>
    <xf numFmtId="0" fontId="14" fillId="39" borderId="43" xfId="0" applyFont="1" applyFill="1" applyBorder="1" applyAlignment="1" applyProtection="1">
      <alignment horizontal="center" vertical="center"/>
      <protection hidden="1" locked="0"/>
    </xf>
    <xf numFmtId="0" fontId="0" fillId="0" borderId="22" xfId="0" applyBorder="1" applyAlignment="1" applyProtection="1">
      <alignment horizontal="right"/>
      <protection hidden="1"/>
    </xf>
    <xf numFmtId="0" fontId="7" fillId="0" borderId="22" xfId="0" applyFont="1" applyBorder="1" applyAlignment="1" applyProtection="1">
      <alignment horizontal="right"/>
      <protection hidden="1"/>
    </xf>
    <xf numFmtId="0" fontId="7" fillId="0" borderId="22" xfId="0" applyFont="1" applyBorder="1" applyAlignment="1" applyProtection="1">
      <alignment/>
      <protection hidden="1"/>
    </xf>
    <xf numFmtId="0" fontId="7" fillId="0" borderId="22" xfId="0" applyFont="1" applyBorder="1" applyAlignment="1" applyProtection="1">
      <alignment horizontal="left"/>
      <protection hidden="1"/>
    </xf>
    <xf numFmtId="0" fontId="0" fillId="0" borderId="22" xfId="0" applyBorder="1" applyAlignment="1" applyProtection="1">
      <alignment/>
      <protection hidden="1"/>
    </xf>
    <xf numFmtId="0" fontId="7" fillId="0" borderId="0" xfId="0" applyFont="1" applyAlignment="1" applyProtection="1">
      <alignment horizontal="right"/>
      <protection hidden="1"/>
    </xf>
    <xf numFmtId="0" fontId="7" fillId="0" borderId="0" xfId="0" applyFont="1" applyBorder="1" applyAlignment="1" applyProtection="1">
      <alignment/>
      <protection hidden="1"/>
    </xf>
    <xf numFmtId="0" fontId="7" fillId="0" borderId="0" xfId="0" applyFont="1" applyAlignment="1" applyProtection="1">
      <alignment horizontal="left"/>
      <protection hidden="1"/>
    </xf>
    <xf numFmtId="0" fontId="45" fillId="0" borderId="0" xfId="0" applyFont="1" applyAlignment="1" applyProtection="1">
      <alignment vertical="top"/>
      <protection hidden="1"/>
    </xf>
    <xf numFmtId="0" fontId="44" fillId="0" borderId="0" xfId="0" applyFont="1" applyAlignment="1" applyProtection="1">
      <alignment vertical="top"/>
      <protection hidden="1"/>
    </xf>
    <xf numFmtId="0" fontId="0" fillId="0" borderId="0" xfId="0" applyAlignment="1" applyProtection="1">
      <alignment/>
      <protection hidden="1"/>
    </xf>
    <xf numFmtId="0" fontId="32" fillId="0" borderId="0" xfId="0" applyFont="1" applyBorder="1" applyAlignment="1" applyProtection="1">
      <alignment horizontal="right" vertical="center" wrapText="1"/>
      <protection hidden="1"/>
    </xf>
    <xf numFmtId="0" fontId="48" fillId="0" borderId="0" xfId="0" applyFont="1" applyAlignment="1" applyProtection="1">
      <alignment horizontal="right"/>
      <protection hidden="1"/>
    </xf>
    <xf numFmtId="0" fontId="0" fillId="0" borderId="0" xfId="0" applyNumberFormat="1" applyBorder="1" applyAlignment="1" applyProtection="1">
      <alignment/>
      <protection hidden="1"/>
    </xf>
    <xf numFmtId="0" fontId="7" fillId="0" borderId="0" xfId="0" applyFont="1" applyBorder="1" applyAlignment="1" applyProtection="1">
      <alignment horizontal="right"/>
      <protection hidden="1"/>
    </xf>
    <xf numFmtId="0" fontId="1" fillId="0" borderId="0" xfId="0" applyFont="1" applyAlignment="1" applyProtection="1">
      <alignment horizontal="right" vertical="center"/>
      <protection hidden="1"/>
    </xf>
    <xf numFmtId="3" fontId="14" fillId="39" borderId="43" xfId="0" applyNumberFormat="1" applyFont="1" applyFill="1" applyBorder="1" applyAlignment="1" applyProtection="1">
      <alignment horizontal="center" vertical="center"/>
      <protection hidden="1" locked="0"/>
    </xf>
    <xf numFmtId="0" fontId="0" fillId="0" borderId="0" xfId="0" applyBorder="1" applyAlignment="1" applyProtection="1">
      <alignment horizontal="left"/>
      <protection hidden="1"/>
    </xf>
    <xf numFmtId="0" fontId="8" fillId="0" borderId="0" xfId="0" applyFont="1" applyBorder="1" applyAlignment="1" applyProtection="1">
      <alignment vertical="top"/>
      <protection hidden="1"/>
    </xf>
    <xf numFmtId="1" fontId="14" fillId="39" borderId="43" xfId="0" applyNumberFormat="1" applyFont="1" applyFill="1" applyBorder="1" applyAlignment="1" applyProtection="1">
      <alignment horizontal="center" vertical="center"/>
      <protection hidden="1" locked="0"/>
    </xf>
    <xf numFmtId="1" fontId="14" fillId="0" borderId="43" xfId="0" applyNumberFormat="1" applyFont="1" applyFill="1" applyBorder="1" applyAlignment="1" applyProtection="1">
      <alignment horizontal="center" vertical="center"/>
      <protection hidden="1"/>
    </xf>
    <xf numFmtId="49" fontId="14" fillId="39" borderId="43" xfId="0" applyNumberFormat="1" applyFont="1" applyFill="1" applyBorder="1" applyAlignment="1" applyProtection="1">
      <alignment horizontal="center" vertical="center"/>
      <protection hidden="1" locked="0"/>
    </xf>
    <xf numFmtId="0" fontId="14" fillId="39" borderId="43" xfId="0" applyFont="1" applyFill="1" applyBorder="1" applyAlignment="1" applyProtection="1">
      <alignment horizontal="right" vertical="center"/>
      <protection hidden="1" locked="0"/>
    </xf>
    <xf numFmtId="0" fontId="0" fillId="0" borderId="20" xfId="0" applyBorder="1" applyAlignment="1" applyProtection="1">
      <alignment/>
      <protection hidden="1"/>
    </xf>
    <xf numFmtId="0" fontId="0" fillId="0" borderId="0" xfId="0" applyAlignment="1" applyProtection="1">
      <alignment horizontal="right" vertical="top" wrapText="1"/>
      <protection hidden="1"/>
    </xf>
    <xf numFmtId="0" fontId="8" fillId="0" borderId="0" xfId="0" applyFont="1" applyBorder="1" applyAlignment="1" applyProtection="1">
      <alignment horizontal="left" vertical="top"/>
      <protection hidden="1"/>
    </xf>
    <xf numFmtId="0" fontId="14" fillId="39" borderId="16" xfId="0" applyFont="1" applyFill="1" applyBorder="1" applyAlignment="1" applyProtection="1">
      <alignment horizontal="right" vertical="center"/>
      <protection hidden="1" locked="0"/>
    </xf>
    <xf numFmtId="0" fontId="0" fillId="0" borderId="0" xfId="0" applyBorder="1" applyAlignment="1" applyProtection="1">
      <alignment horizontal="center"/>
      <protection hidden="1"/>
    </xf>
    <xf numFmtId="0" fontId="0" fillId="0" borderId="25" xfId="0" applyBorder="1" applyAlignment="1" applyProtection="1">
      <alignment/>
      <protection hidden="1"/>
    </xf>
    <xf numFmtId="0" fontId="0" fillId="0" borderId="0" xfId="0" applyBorder="1" applyAlignment="1" applyProtection="1">
      <alignment horizontal="right" vertical="top"/>
      <protection hidden="1"/>
    </xf>
    <xf numFmtId="0" fontId="0" fillId="0" borderId="45" xfId="0" applyBorder="1" applyAlignment="1" applyProtection="1">
      <alignment/>
      <protection hidden="1"/>
    </xf>
    <xf numFmtId="0" fontId="11" fillId="0" borderId="0" xfId="0" applyFont="1" applyBorder="1" applyAlignment="1" applyProtection="1">
      <alignment horizontal="right" vertical="center"/>
      <protection hidden="1"/>
    </xf>
    <xf numFmtId="0" fontId="8" fillId="0" borderId="0" xfId="0" applyFont="1" applyAlignment="1" applyProtection="1">
      <alignment vertical="top"/>
      <protection hidden="1"/>
    </xf>
    <xf numFmtId="49" fontId="14" fillId="0" borderId="0" xfId="0" applyNumberFormat="1" applyFont="1" applyFill="1" applyBorder="1" applyAlignment="1" applyProtection="1">
      <alignment horizontal="left" vertical="center"/>
      <protection hidden="1" locked="0"/>
    </xf>
    <xf numFmtId="0" fontId="0" fillId="0" borderId="0" xfId="0" applyAlignment="1" applyProtection="1">
      <alignment horizontal="left"/>
      <protection hidden="1"/>
    </xf>
    <xf numFmtId="0" fontId="1" fillId="0" borderId="0"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46" fillId="0" borderId="0" xfId="0" applyFont="1" applyAlignment="1" applyProtection="1">
      <alignment vertical="center"/>
      <protection hidden="1"/>
    </xf>
    <xf numFmtId="167" fontId="2" fillId="0" borderId="12" xfId="0" applyNumberFormat="1" applyFont="1" applyFill="1" applyBorder="1" applyAlignment="1" applyProtection="1">
      <alignment horizontal="center" vertical="center"/>
      <protection hidden="1"/>
    </xf>
    <xf numFmtId="167" fontId="2" fillId="0" borderId="10" xfId="0" applyNumberFormat="1" applyFont="1" applyFill="1" applyBorder="1" applyAlignment="1" applyProtection="1">
      <alignment horizontal="center" vertical="center"/>
      <protection hidden="1"/>
    </xf>
    <xf numFmtId="167" fontId="2" fillId="0" borderId="11" xfId="0" applyNumberFormat="1" applyFont="1" applyFill="1" applyBorder="1" applyAlignment="1" applyProtection="1">
      <alignment horizontal="center" vertical="center"/>
      <protection hidden="1"/>
    </xf>
    <xf numFmtId="167" fontId="20" fillId="0" borderId="10" xfId="0" applyNumberFormat="1" applyFont="1" applyFill="1" applyBorder="1" applyAlignment="1">
      <alignment horizontal="center" vertical="center"/>
    </xf>
    <xf numFmtId="167" fontId="53" fillId="0" borderId="10" xfId="57" applyNumberFormat="1" applyFont="1" applyFill="1" applyBorder="1" applyAlignment="1">
      <alignment horizontal="center" vertical="center" wrapText="1"/>
      <protection/>
    </xf>
    <xf numFmtId="167" fontId="53" fillId="0" borderId="13" xfId="57" applyNumberFormat="1" applyFont="1" applyFill="1" applyBorder="1" applyAlignment="1">
      <alignment horizontal="center" vertical="center" wrapText="1"/>
      <protection/>
    </xf>
    <xf numFmtId="3" fontId="3" fillId="0" borderId="0" xfId="0" applyNumberFormat="1" applyFont="1" applyAlignment="1">
      <alignment/>
    </xf>
    <xf numFmtId="0" fontId="3" fillId="0" borderId="0" xfId="0" applyFont="1" applyFill="1" applyBorder="1" applyAlignment="1">
      <alignment vertical="center"/>
    </xf>
    <xf numFmtId="3" fontId="3" fillId="0" borderId="0" xfId="0" applyNumberFormat="1" applyFont="1" applyFill="1" applyBorder="1" applyAlignment="1">
      <alignment vertical="center"/>
    </xf>
    <xf numFmtId="3" fontId="3" fillId="0" borderId="0" xfId="0" applyNumberFormat="1" applyFont="1" applyFill="1" applyBorder="1" applyAlignment="1">
      <alignment vertical="center"/>
    </xf>
    <xf numFmtId="3" fontId="3" fillId="0" borderId="20" xfId="0" applyNumberFormat="1" applyFont="1" applyFill="1" applyBorder="1" applyAlignment="1" applyProtection="1">
      <alignment vertical="center"/>
      <protection locked="0"/>
    </xf>
    <xf numFmtId="0" fontId="1" fillId="0" borderId="22" xfId="0" applyFont="1" applyFill="1" applyBorder="1" applyAlignment="1">
      <alignment vertical="center"/>
    </xf>
    <xf numFmtId="0" fontId="41" fillId="34" borderId="39" xfId="0" applyFont="1" applyFill="1" applyBorder="1" applyAlignment="1">
      <alignment horizontal="center" vertical="center" wrapText="1"/>
    </xf>
    <xf numFmtId="167" fontId="2" fillId="0" borderId="46" xfId="0" applyNumberFormat="1" applyFont="1" applyFill="1" applyBorder="1" applyAlignment="1">
      <alignment horizontal="center" vertical="center"/>
    </xf>
    <xf numFmtId="49" fontId="2" fillId="0" borderId="46" xfId="0" applyNumberFormat="1" applyFont="1" applyFill="1" applyBorder="1" applyAlignment="1" applyProtection="1">
      <alignment horizontal="center" vertical="center"/>
      <protection locked="0"/>
    </xf>
    <xf numFmtId="0" fontId="0" fillId="40" borderId="44" xfId="0" applyFill="1" applyBorder="1" applyAlignment="1">
      <alignment/>
    </xf>
    <xf numFmtId="0" fontId="0" fillId="40" borderId="45" xfId="0" applyFill="1" applyBorder="1" applyAlignment="1">
      <alignment/>
    </xf>
    <xf numFmtId="2" fontId="0" fillId="40" borderId="45" xfId="0" applyNumberFormat="1" applyFill="1" applyBorder="1" applyAlignment="1">
      <alignment/>
    </xf>
    <xf numFmtId="1" fontId="0" fillId="40" borderId="47" xfId="0" applyNumberFormat="1" applyFill="1" applyBorder="1" applyAlignment="1">
      <alignment/>
    </xf>
    <xf numFmtId="0" fontId="0" fillId="40" borderId="20" xfId="0" applyFill="1" applyBorder="1" applyAlignment="1">
      <alignment/>
    </xf>
    <xf numFmtId="0" fontId="0" fillId="40" borderId="0" xfId="0" applyFill="1" applyBorder="1" applyAlignment="1">
      <alignment/>
    </xf>
    <xf numFmtId="2" fontId="0" fillId="40" borderId="0" xfId="0" applyNumberFormat="1" applyFill="1" applyBorder="1" applyAlignment="1">
      <alignment/>
    </xf>
    <xf numFmtId="1" fontId="0" fillId="40" borderId="21" xfId="0" applyNumberFormat="1" applyFill="1" applyBorder="1" applyAlignment="1">
      <alignment/>
    </xf>
    <xf numFmtId="0" fontId="0" fillId="40" borderId="16" xfId="0" applyFill="1" applyBorder="1" applyAlignment="1">
      <alignment/>
    </xf>
    <xf numFmtId="0" fontId="0" fillId="40" borderId="22" xfId="0" applyFill="1" applyBorder="1" applyAlignment="1">
      <alignment/>
    </xf>
    <xf numFmtId="2" fontId="0" fillId="40" borderId="22" xfId="0" applyNumberFormat="1" applyFill="1" applyBorder="1" applyAlignment="1">
      <alignment/>
    </xf>
    <xf numFmtId="1" fontId="0" fillId="40" borderId="23" xfId="0" applyNumberFormat="1" applyFill="1" applyBorder="1" applyAlignment="1">
      <alignment/>
    </xf>
    <xf numFmtId="1" fontId="0" fillId="41" borderId="20" xfId="0" applyNumberFormat="1" applyFill="1" applyBorder="1" applyAlignment="1">
      <alignment/>
    </xf>
    <xf numFmtId="1" fontId="0" fillId="41" borderId="21" xfId="0" applyNumberFormat="1" applyFill="1" applyBorder="1" applyAlignment="1">
      <alignment/>
    </xf>
    <xf numFmtId="0" fontId="0" fillId="42" borderId="44" xfId="0" applyFill="1" applyBorder="1" applyAlignment="1">
      <alignment/>
    </xf>
    <xf numFmtId="0" fontId="0" fillId="42" borderId="45" xfId="0" applyFill="1" applyBorder="1" applyAlignment="1">
      <alignment/>
    </xf>
    <xf numFmtId="2" fontId="0" fillId="42" borderId="45" xfId="0" applyNumberFormat="1" applyFill="1" applyBorder="1" applyAlignment="1">
      <alignment/>
    </xf>
    <xf numFmtId="1" fontId="0" fillId="42" borderId="44" xfId="0" applyNumberFormat="1" applyFill="1" applyBorder="1" applyAlignment="1">
      <alignment/>
    </xf>
    <xf numFmtId="1" fontId="0" fillId="42" borderId="47" xfId="0" applyNumberFormat="1" applyFill="1" applyBorder="1" applyAlignment="1">
      <alignment/>
    </xf>
    <xf numFmtId="0" fontId="0" fillId="42" borderId="20" xfId="0" applyFill="1" applyBorder="1" applyAlignment="1">
      <alignment/>
    </xf>
    <xf numFmtId="0" fontId="0" fillId="42" borderId="0" xfId="0" applyFill="1" applyBorder="1" applyAlignment="1">
      <alignment/>
    </xf>
    <xf numFmtId="2" fontId="0" fillId="42" borderId="0" xfId="0" applyNumberFormat="1" applyFill="1" applyBorder="1" applyAlignment="1">
      <alignment/>
    </xf>
    <xf numFmtId="1" fontId="0" fillId="42" borderId="20" xfId="0" applyNumberFormat="1" applyFill="1" applyBorder="1" applyAlignment="1">
      <alignment/>
    </xf>
    <xf numFmtId="1" fontId="0" fillId="42" borderId="21" xfId="0" applyNumberFormat="1" applyFill="1" applyBorder="1" applyAlignment="1">
      <alignment/>
    </xf>
    <xf numFmtId="0" fontId="0" fillId="42" borderId="16" xfId="0" applyFill="1" applyBorder="1" applyAlignment="1">
      <alignment/>
    </xf>
    <xf numFmtId="0" fontId="0" fillId="42" borderId="22" xfId="0" applyFill="1" applyBorder="1" applyAlignment="1">
      <alignment/>
    </xf>
    <xf numFmtId="2" fontId="0" fillId="42" borderId="22" xfId="0" applyNumberFormat="1" applyFill="1" applyBorder="1" applyAlignment="1">
      <alignment/>
    </xf>
    <xf numFmtId="1" fontId="0" fillId="42" borderId="16" xfId="0" applyNumberFormat="1" applyFill="1" applyBorder="1" applyAlignment="1">
      <alignment/>
    </xf>
    <xf numFmtId="1" fontId="0" fillId="42" borderId="23" xfId="0" applyNumberFormat="1" applyFill="1" applyBorder="1" applyAlignment="1">
      <alignment/>
    </xf>
    <xf numFmtId="1" fontId="0" fillId="40" borderId="44" xfId="0" applyNumberFormat="1" applyFill="1" applyBorder="1" applyAlignment="1">
      <alignment/>
    </xf>
    <xf numFmtId="1" fontId="0" fillId="40" borderId="20" xfId="0" applyNumberFormat="1" applyFill="1" applyBorder="1" applyAlignment="1">
      <alignment/>
    </xf>
    <xf numFmtId="1" fontId="0" fillId="40" borderId="16" xfId="0" applyNumberFormat="1" applyFill="1" applyBorder="1" applyAlignment="1">
      <alignment/>
    </xf>
    <xf numFmtId="3" fontId="0" fillId="40" borderId="45" xfId="0" applyNumberFormat="1" applyFill="1" applyBorder="1" applyAlignment="1">
      <alignment/>
    </xf>
    <xf numFmtId="3" fontId="0" fillId="40" borderId="0" xfId="0" applyNumberFormat="1" applyFill="1" applyBorder="1" applyAlignment="1">
      <alignment/>
    </xf>
    <xf numFmtId="3" fontId="0" fillId="40" borderId="22" xfId="0" applyNumberFormat="1" applyFill="1" applyBorder="1" applyAlignment="1">
      <alignment/>
    </xf>
    <xf numFmtId="3" fontId="0" fillId="42" borderId="45" xfId="0" applyNumberFormat="1" applyFill="1" applyBorder="1" applyAlignment="1">
      <alignment/>
    </xf>
    <xf numFmtId="3" fontId="0" fillId="42" borderId="0" xfId="0" applyNumberFormat="1" applyFill="1" applyBorder="1" applyAlignment="1">
      <alignment/>
    </xf>
    <xf numFmtId="3" fontId="0" fillId="42" borderId="22" xfId="0" applyNumberFormat="1" applyFill="1" applyBorder="1" applyAlignment="1">
      <alignment/>
    </xf>
    <xf numFmtId="1" fontId="0" fillId="42" borderId="45" xfId="0" applyNumberFormat="1" applyFill="1" applyBorder="1" applyAlignment="1">
      <alignment/>
    </xf>
    <xf numFmtId="1" fontId="0" fillId="42" borderId="0" xfId="0" applyNumberFormat="1" applyFill="1" applyBorder="1" applyAlignment="1">
      <alignment/>
    </xf>
    <xf numFmtId="1" fontId="0" fillId="42" borderId="22" xfId="0" applyNumberFormat="1" applyFill="1" applyBorder="1" applyAlignment="1">
      <alignment/>
    </xf>
    <xf numFmtId="0" fontId="0" fillId="41" borderId="44" xfId="0" applyFill="1" applyBorder="1" applyAlignment="1">
      <alignment/>
    </xf>
    <xf numFmtId="0" fontId="0" fillId="41" borderId="45" xfId="0" applyFill="1" applyBorder="1" applyAlignment="1">
      <alignment/>
    </xf>
    <xf numFmtId="2" fontId="0" fillId="41" borderId="45" xfId="0" applyNumberFormat="1" applyFill="1" applyBorder="1" applyAlignment="1">
      <alignment/>
    </xf>
    <xf numFmtId="1" fontId="0" fillId="41" borderId="44" xfId="0" applyNumberFormat="1" applyFill="1" applyBorder="1" applyAlignment="1">
      <alignment/>
    </xf>
    <xf numFmtId="1" fontId="0" fillId="41" borderId="47" xfId="0" applyNumberFormat="1" applyFill="1" applyBorder="1" applyAlignment="1">
      <alignment/>
    </xf>
    <xf numFmtId="0" fontId="0" fillId="41" borderId="20" xfId="0" applyFill="1" applyBorder="1" applyAlignment="1">
      <alignment/>
    </xf>
    <xf numFmtId="0" fontId="0" fillId="41" borderId="0" xfId="0" applyFill="1" applyBorder="1" applyAlignment="1">
      <alignment/>
    </xf>
    <xf numFmtId="2" fontId="0" fillId="41" borderId="0" xfId="0" applyNumberFormat="1" applyFill="1" applyBorder="1" applyAlignment="1">
      <alignment/>
    </xf>
    <xf numFmtId="1" fontId="0" fillId="41" borderId="0" xfId="0" applyNumberFormat="1" applyFill="1" applyBorder="1" applyAlignment="1">
      <alignment/>
    </xf>
    <xf numFmtId="0" fontId="0" fillId="41" borderId="16" xfId="0" applyFill="1" applyBorder="1" applyAlignment="1">
      <alignment/>
    </xf>
    <xf numFmtId="0" fontId="0" fillId="41" borderId="22" xfId="0" applyFill="1" applyBorder="1" applyAlignment="1">
      <alignment/>
    </xf>
    <xf numFmtId="2" fontId="0" fillId="41" borderId="22" xfId="0" applyNumberFormat="1" applyFill="1" applyBorder="1" applyAlignment="1">
      <alignment/>
    </xf>
    <xf numFmtId="1" fontId="0" fillId="41" borderId="16" xfId="0" applyNumberFormat="1" applyFill="1" applyBorder="1" applyAlignment="1">
      <alignment/>
    </xf>
    <xf numFmtId="1" fontId="0" fillId="41" borderId="23" xfId="0" applyNumberFormat="1" applyFill="1" applyBorder="1" applyAlignment="1">
      <alignment/>
    </xf>
    <xf numFmtId="3" fontId="3" fillId="0" borderId="46" xfId="0" applyNumberFormat="1" applyFont="1" applyFill="1" applyBorder="1" applyAlignment="1" applyProtection="1">
      <alignment horizontal="right" vertical="center" shrinkToFit="1"/>
      <protection locked="0"/>
    </xf>
    <xf numFmtId="3" fontId="3" fillId="0" borderId="10" xfId="0" applyNumberFormat="1" applyFont="1" applyFill="1" applyBorder="1" applyAlignment="1" applyProtection="1">
      <alignment horizontal="right" vertical="center" shrinkToFit="1"/>
      <protection locked="0"/>
    </xf>
    <xf numFmtId="49" fontId="3" fillId="0" borderId="12" xfId="0" applyNumberFormat="1" applyFont="1" applyFill="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protection locked="0"/>
    </xf>
    <xf numFmtId="49" fontId="3" fillId="0" borderId="10" xfId="0" applyNumberFormat="1" applyFont="1" applyFill="1" applyBorder="1" applyAlignment="1" applyProtection="1">
      <alignment horizontal="center" vertical="center"/>
      <protection locked="0"/>
    </xf>
    <xf numFmtId="49" fontId="3" fillId="0" borderId="10" xfId="57" applyNumberFormat="1" applyFont="1" applyFill="1" applyBorder="1" applyAlignment="1" applyProtection="1">
      <alignment horizontal="center" vertical="center"/>
      <protection locked="0"/>
    </xf>
    <xf numFmtId="49" fontId="3" fillId="0" borderId="13" xfId="0" applyNumberFormat="1" applyFont="1" applyFill="1" applyBorder="1" applyAlignment="1" applyProtection="1">
      <alignment horizontal="center" vertical="center"/>
      <protection locked="0"/>
    </xf>
    <xf numFmtId="49" fontId="2" fillId="0" borderId="13" xfId="0" applyNumberFormat="1" applyFont="1" applyFill="1" applyBorder="1" applyAlignment="1" applyProtection="1">
      <alignment horizontal="center" vertical="center"/>
      <protection locked="0"/>
    </xf>
    <xf numFmtId="49" fontId="55" fillId="0" borderId="46" xfId="57" applyNumberFormat="1" applyFont="1" applyFill="1" applyBorder="1" applyAlignment="1" applyProtection="1">
      <alignment horizontal="center" vertical="center" wrapText="1"/>
      <protection locked="0"/>
    </xf>
    <xf numFmtId="49" fontId="55" fillId="0" borderId="10" xfId="57" applyNumberFormat="1" applyFont="1" applyFill="1" applyBorder="1" applyAlignment="1" applyProtection="1">
      <alignment horizontal="center" vertical="center" wrapText="1"/>
      <protection locked="0"/>
    </xf>
    <xf numFmtId="49" fontId="55" fillId="0" borderId="13" xfId="57" applyNumberFormat="1" applyFont="1" applyFill="1" applyBorder="1" applyAlignment="1" applyProtection="1">
      <alignment horizontal="center" vertical="center" wrapText="1"/>
      <protection locked="0"/>
    </xf>
    <xf numFmtId="3" fontId="3" fillId="39" borderId="46" xfId="0" applyNumberFormat="1" applyFont="1" applyFill="1" applyBorder="1" applyAlignment="1" applyProtection="1">
      <alignment horizontal="right" vertical="center" shrinkToFit="1"/>
      <protection hidden="1"/>
    </xf>
    <xf numFmtId="3" fontId="3" fillId="39" borderId="13" xfId="0" applyNumberFormat="1" applyFont="1" applyFill="1" applyBorder="1" applyAlignment="1" applyProtection="1">
      <alignment horizontal="right" vertical="center" shrinkToFit="1"/>
      <protection hidden="1"/>
    </xf>
    <xf numFmtId="3" fontId="3" fillId="0" borderId="10" xfId="0" applyNumberFormat="1" applyFont="1" applyFill="1" applyBorder="1" applyAlignment="1" applyProtection="1">
      <alignment horizontal="right" vertical="center" shrinkToFit="1"/>
      <protection hidden="1" locked="0"/>
    </xf>
    <xf numFmtId="3" fontId="3" fillId="39" borderId="10" xfId="0" applyNumberFormat="1" applyFont="1" applyFill="1" applyBorder="1" applyAlignment="1" applyProtection="1">
      <alignment horizontal="right" vertical="center" shrinkToFit="1"/>
      <protection hidden="1"/>
    </xf>
    <xf numFmtId="3" fontId="3" fillId="0" borderId="10" xfId="0" applyNumberFormat="1" applyFont="1" applyFill="1" applyBorder="1" applyAlignment="1" applyProtection="1">
      <alignment vertical="center" shrinkToFit="1"/>
      <protection locked="0"/>
    </xf>
    <xf numFmtId="3" fontId="3" fillId="39" borderId="10" xfId="0" applyNumberFormat="1" applyFont="1" applyFill="1" applyBorder="1" applyAlignment="1" applyProtection="1">
      <alignment vertical="center" shrinkToFit="1"/>
      <protection hidden="1"/>
    </xf>
    <xf numFmtId="3" fontId="3" fillId="0" borderId="13" xfId="0" applyNumberFormat="1" applyFont="1" applyFill="1" applyBorder="1" applyAlignment="1" applyProtection="1">
      <alignment vertical="center" shrinkToFit="1"/>
      <protection locked="0"/>
    </xf>
    <xf numFmtId="3" fontId="3" fillId="39" borderId="13" xfId="0" applyNumberFormat="1" applyFont="1" applyFill="1" applyBorder="1" applyAlignment="1" applyProtection="1">
      <alignment vertical="center" shrinkToFit="1"/>
      <protection hidden="1"/>
    </xf>
    <xf numFmtId="3" fontId="3" fillId="0" borderId="13" xfId="0" applyNumberFormat="1" applyFont="1" applyFill="1" applyBorder="1" applyAlignment="1" applyProtection="1">
      <alignment horizontal="right" vertical="center" shrinkToFit="1"/>
      <protection locked="0"/>
    </xf>
    <xf numFmtId="49" fontId="55" fillId="0" borderId="46" xfId="57" applyNumberFormat="1" applyFont="1" applyFill="1" applyBorder="1" applyAlignment="1" applyProtection="1">
      <alignment horizontal="center" vertical="center" shrinkToFit="1"/>
      <protection locked="0"/>
    </xf>
    <xf numFmtId="49" fontId="55" fillId="0" borderId="10" xfId="57" applyNumberFormat="1" applyFont="1" applyFill="1" applyBorder="1" applyAlignment="1" applyProtection="1">
      <alignment horizontal="center" vertical="center" shrinkToFit="1"/>
      <protection locked="0"/>
    </xf>
    <xf numFmtId="49" fontId="55" fillId="0" borderId="13" xfId="57" applyNumberFormat="1" applyFont="1" applyFill="1" applyBorder="1" applyAlignment="1" applyProtection="1">
      <alignment horizontal="center" vertical="center" shrinkToFit="1"/>
      <protection locked="0"/>
    </xf>
    <xf numFmtId="3" fontId="3" fillId="39" borderId="46" xfId="0" applyNumberFormat="1" applyFont="1" applyFill="1" applyBorder="1" applyAlignment="1" applyProtection="1">
      <alignment vertical="center" shrinkToFit="1"/>
      <protection hidden="1"/>
    </xf>
    <xf numFmtId="3" fontId="0" fillId="0" borderId="0" xfId="0" applyNumberFormat="1" applyAlignment="1">
      <alignment shrinkToFit="1"/>
    </xf>
    <xf numFmtId="3" fontId="0" fillId="37" borderId="0" xfId="0" applyNumberFormat="1" applyFill="1" applyAlignment="1">
      <alignment wrapText="1"/>
    </xf>
    <xf numFmtId="0" fontId="56" fillId="0" borderId="0" xfId="0" applyFont="1" applyAlignment="1">
      <alignment wrapText="1"/>
    </xf>
    <xf numFmtId="0" fontId="57" fillId="0" borderId="43" xfId="0" applyFont="1" applyFill="1" applyBorder="1" applyAlignment="1" applyProtection="1">
      <alignment horizontal="center" vertical="center"/>
      <protection hidden="1"/>
    </xf>
    <xf numFmtId="0" fontId="34" fillId="0" borderId="0" xfId="0" applyFont="1" applyAlignment="1" applyProtection="1">
      <alignment/>
      <protection hidden="1"/>
    </xf>
    <xf numFmtId="0" fontId="0" fillId="0" borderId="0" xfId="0" applyFont="1" applyFill="1" applyBorder="1" applyAlignment="1">
      <alignment/>
    </xf>
    <xf numFmtId="0" fontId="29" fillId="0" borderId="0" xfId="0" applyFont="1" applyFill="1" applyBorder="1" applyAlignment="1" applyProtection="1">
      <alignment horizontal="right" vertical="center"/>
      <protection hidden="1"/>
    </xf>
    <xf numFmtId="0" fontId="57" fillId="0" borderId="48" xfId="0" applyFont="1" applyFill="1" applyBorder="1" applyAlignment="1" applyProtection="1">
      <alignment horizontal="center" vertical="center"/>
      <protection hidden="1"/>
    </xf>
    <xf numFmtId="0" fontId="0" fillId="0" borderId="44" xfId="0" applyBorder="1" applyAlignment="1" applyProtection="1">
      <alignment/>
      <protection hidden="1"/>
    </xf>
    <xf numFmtId="0" fontId="0" fillId="0" borderId="47" xfId="0" applyBorder="1" applyAlignment="1" applyProtection="1">
      <alignment/>
      <protection hidden="1"/>
    </xf>
    <xf numFmtId="0" fontId="0" fillId="0" borderId="49" xfId="0" applyBorder="1" applyAlignment="1" applyProtection="1">
      <alignment horizontal="center" vertical="center"/>
      <protection hidden="1"/>
    </xf>
    <xf numFmtId="8" fontId="60" fillId="0" borderId="50" xfId="0" applyNumberFormat="1" applyFont="1" applyBorder="1" applyAlignment="1" applyProtection="1">
      <alignment horizontal="right" vertical="center" wrapText="1"/>
      <protection hidden="1"/>
    </xf>
    <xf numFmtId="8" fontId="60" fillId="0" borderId="50" xfId="0" applyNumberFormat="1" applyFont="1" applyBorder="1" applyAlignment="1" applyProtection="1">
      <alignment horizontal="right" vertical="center"/>
      <protection hidden="1"/>
    </xf>
    <xf numFmtId="0" fontId="0" fillId="0" borderId="51" xfId="0" applyBorder="1" applyAlignment="1" applyProtection="1">
      <alignment horizontal="center" vertical="center"/>
      <protection hidden="1"/>
    </xf>
    <xf numFmtId="8" fontId="60" fillId="0" borderId="52" xfId="0" applyNumberFormat="1" applyFont="1" applyBorder="1" applyAlignment="1" applyProtection="1">
      <alignment horizontal="right" vertical="center" wrapText="1"/>
      <protection hidden="1"/>
    </xf>
    <xf numFmtId="8" fontId="60" fillId="0" borderId="52" xfId="0" applyNumberFormat="1" applyFont="1" applyBorder="1" applyAlignment="1" applyProtection="1">
      <alignment horizontal="right" vertical="center"/>
      <protection hidden="1"/>
    </xf>
    <xf numFmtId="0" fontId="0" fillId="0" borderId="53" xfId="0" applyBorder="1" applyAlignment="1" applyProtection="1">
      <alignment horizontal="center" vertical="center"/>
      <protection hidden="1"/>
    </xf>
    <xf numFmtId="8" fontId="60" fillId="0" borderId="54" xfId="0" applyNumberFormat="1" applyFont="1" applyBorder="1" applyAlignment="1" applyProtection="1">
      <alignment horizontal="right" vertical="center" wrapText="1"/>
      <protection hidden="1"/>
    </xf>
    <xf numFmtId="8" fontId="60" fillId="0" borderId="54" xfId="0" applyNumberFormat="1" applyFont="1" applyBorder="1" applyAlignment="1" applyProtection="1">
      <alignment horizontal="right" vertical="center"/>
      <protection hidden="1"/>
    </xf>
    <xf numFmtId="0" fontId="0" fillId="0" borderId="21" xfId="0" applyBorder="1" applyAlignment="1" applyProtection="1">
      <alignment/>
      <protection hidden="1"/>
    </xf>
    <xf numFmtId="0" fontId="0" fillId="0" borderId="0" xfId="0" applyNumberFormat="1" applyAlignment="1">
      <alignment/>
    </xf>
    <xf numFmtId="0" fontId="61" fillId="39" borderId="24" xfId="0" applyFont="1" applyFill="1" applyBorder="1" applyAlignment="1" applyProtection="1">
      <alignment horizontal="center" vertical="center"/>
      <protection locked="0"/>
    </xf>
    <xf numFmtId="0" fontId="1" fillId="0" borderId="0" xfId="0" applyFont="1" applyBorder="1" applyAlignment="1" applyProtection="1">
      <alignment horizontal="right"/>
      <protection hidden="1"/>
    </xf>
    <xf numFmtId="0" fontId="0" fillId="0" borderId="0" xfId="0" applyFill="1" applyBorder="1" applyAlignment="1">
      <alignment vertical="center"/>
    </xf>
    <xf numFmtId="49" fontId="0" fillId="0" borderId="0" xfId="0" applyNumberFormat="1" applyFont="1" applyFill="1" applyBorder="1" applyAlignment="1">
      <alignment/>
    </xf>
    <xf numFmtId="0" fontId="2" fillId="37" borderId="24" xfId="0" applyFont="1" applyFill="1" applyBorder="1" applyAlignment="1" applyProtection="1">
      <alignment horizontal="center" vertical="center" wrapText="1"/>
      <protection hidden="1"/>
    </xf>
    <xf numFmtId="1" fontId="0" fillId="0" borderId="0" xfId="0" applyNumberFormat="1" applyAlignment="1">
      <alignment wrapText="1"/>
    </xf>
    <xf numFmtId="0" fontId="64" fillId="0" borderId="0" xfId="0" applyFont="1" applyBorder="1" applyAlignment="1">
      <alignment vertical="center"/>
    </xf>
    <xf numFmtId="0" fontId="65" fillId="0" borderId="0" xfId="0" applyFont="1" applyBorder="1" applyAlignment="1">
      <alignment vertical="center"/>
    </xf>
    <xf numFmtId="0" fontId="65" fillId="0" borderId="0" xfId="0" applyFont="1" applyAlignment="1">
      <alignment vertical="center"/>
    </xf>
    <xf numFmtId="0" fontId="20" fillId="0" borderId="0" xfId="0" applyFont="1" applyBorder="1" applyAlignment="1">
      <alignment/>
    </xf>
    <xf numFmtId="0" fontId="0" fillId="0" borderId="0" xfId="0" applyAlignment="1">
      <alignment/>
    </xf>
    <xf numFmtId="0" fontId="0" fillId="0" borderId="21" xfId="0" applyBorder="1" applyAlignment="1">
      <alignment/>
    </xf>
    <xf numFmtId="0" fontId="0" fillId="0" borderId="20" xfId="0" applyBorder="1" applyAlignment="1">
      <alignment vertical="center" shrinkToFit="1"/>
    </xf>
    <xf numFmtId="0" fontId="0" fillId="0" borderId="21" xfId="0" applyBorder="1" applyAlignment="1">
      <alignment vertical="center" shrinkToFit="1"/>
    </xf>
    <xf numFmtId="4" fontId="63" fillId="0" borderId="0" xfId="0" applyNumberFormat="1" applyFont="1" applyBorder="1" applyAlignment="1" quotePrefix="1">
      <alignment horizontal="center"/>
    </xf>
    <xf numFmtId="4" fontId="63" fillId="0" borderId="21" xfId="0" applyNumberFormat="1" applyFont="1" applyBorder="1" applyAlignment="1">
      <alignment horizontal="center"/>
    </xf>
    <xf numFmtId="4" fontId="63" fillId="0" borderId="0" xfId="0" applyNumberFormat="1" applyFont="1" applyBorder="1" applyAlignment="1">
      <alignment horizontal="center"/>
    </xf>
    <xf numFmtId="0" fontId="42" fillId="0" borderId="55" xfId="0" applyFont="1" applyBorder="1" applyAlignment="1" applyProtection="1">
      <alignment vertical="center" wrapText="1"/>
      <protection hidden="1"/>
    </xf>
    <xf numFmtId="0" fontId="0" fillId="0" borderId="55" xfId="0" applyBorder="1" applyAlignment="1" applyProtection="1">
      <alignment vertical="center" wrapText="1"/>
      <protection hidden="1"/>
    </xf>
    <xf numFmtId="0" fontId="0" fillId="0" borderId="56" xfId="0" applyBorder="1" applyAlignment="1" applyProtection="1">
      <alignment vertical="center" wrapText="1"/>
      <protection hidden="1"/>
    </xf>
    <xf numFmtId="0" fontId="15" fillId="0" borderId="20" xfId="0" applyFont="1" applyBorder="1" applyAlignment="1" applyProtection="1">
      <alignment vertical="center" wrapText="1"/>
      <protection hidden="1"/>
    </xf>
    <xf numFmtId="0" fontId="15" fillId="0" borderId="0" xfId="0" applyFont="1" applyAlignment="1" applyProtection="1">
      <alignment vertical="center" wrapText="1"/>
      <protection hidden="1"/>
    </xf>
    <xf numFmtId="0" fontId="15" fillId="0" borderId="21" xfId="0" applyFont="1" applyBorder="1" applyAlignment="1" applyProtection="1">
      <alignment vertical="center" wrapText="1"/>
      <protection hidden="1"/>
    </xf>
    <xf numFmtId="0" fontId="60" fillId="0" borderId="20" xfId="0" applyFont="1" applyBorder="1" applyAlignment="1" applyProtection="1">
      <alignment vertical="center" wrapText="1"/>
      <protection hidden="1"/>
    </xf>
    <xf numFmtId="0" fontId="61" fillId="0" borderId="0" xfId="0" applyFont="1" applyAlignment="1" applyProtection="1">
      <alignment vertical="center"/>
      <protection hidden="1"/>
    </xf>
    <xf numFmtId="0" fontId="61" fillId="0" borderId="21" xfId="0" applyFont="1" applyBorder="1" applyAlignment="1" applyProtection="1">
      <alignment vertical="center"/>
      <protection hidden="1"/>
    </xf>
    <xf numFmtId="0" fontId="60" fillId="0" borderId="20" xfId="0" applyFont="1" applyBorder="1" applyAlignment="1" applyProtection="1">
      <alignment wrapText="1"/>
      <protection hidden="1"/>
    </xf>
    <xf numFmtId="0" fontId="60" fillId="0" borderId="0" xfId="0" applyFont="1" applyAlignment="1" applyProtection="1">
      <alignment wrapText="1"/>
      <protection hidden="1"/>
    </xf>
    <xf numFmtId="0" fontId="60" fillId="0" borderId="21" xfId="0" applyFont="1" applyBorder="1" applyAlignment="1" applyProtection="1">
      <alignment wrapText="1"/>
      <protection hidden="1"/>
    </xf>
    <xf numFmtId="0" fontId="10" fillId="0" borderId="0" xfId="0" applyFont="1" applyAlignment="1" applyProtection="1">
      <alignment horizontal="center" wrapText="1"/>
      <protection hidden="1"/>
    </xf>
    <xf numFmtId="0" fontId="0" fillId="0" borderId="22" xfId="0" applyBorder="1" applyAlignment="1" applyProtection="1">
      <alignment horizontal="center" wrapText="1"/>
      <protection hidden="1"/>
    </xf>
    <xf numFmtId="0" fontId="10" fillId="0" borderId="21" xfId="0" applyFont="1" applyBorder="1" applyAlignment="1" applyProtection="1">
      <alignment horizontal="center" wrapText="1"/>
      <protection hidden="1"/>
    </xf>
    <xf numFmtId="0" fontId="0" fillId="0" borderId="23" xfId="0" applyBorder="1" applyAlignment="1" applyProtection="1">
      <alignment horizontal="center" wrapText="1"/>
      <protection hidden="1"/>
    </xf>
    <xf numFmtId="0" fontId="60" fillId="0" borderId="0" xfId="0" applyFont="1" applyBorder="1" applyAlignment="1" applyProtection="1">
      <alignment vertical="center" wrapText="1"/>
      <protection hidden="1"/>
    </xf>
    <xf numFmtId="0" fontId="0" fillId="0" borderId="0" xfId="0" applyBorder="1" applyAlignment="1" applyProtection="1">
      <alignment wrapText="1"/>
      <protection hidden="1"/>
    </xf>
    <xf numFmtId="0" fontId="10" fillId="37" borderId="44" xfId="0" applyFont="1" applyFill="1" applyBorder="1" applyAlignment="1">
      <alignment horizontal="center" vertical="center" wrapText="1"/>
    </xf>
    <xf numFmtId="0" fontId="10" fillId="37" borderId="47" xfId="0" applyFont="1" applyFill="1" applyBorder="1" applyAlignment="1">
      <alignment horizontal="center" vertical="center" wrapText="1"/>
    </xf>
    <xf numFmtId="0" fontId="10" fillId="37" borderId="16" xfId="0" applyFont="1" applyFill="1" applyBorder="1" applyAlignment="1">
      <alignment horizontal="center" vertical="center" wrapText="1"/>
    </xf>
    <xf numFmtId="0" fontId="10" fillId="37" borderId="23" xfId="0" applyFont="1" applyFill="1" applyBorder="1" applyAlignment="1">
      <alignment horizontal="center" vertical="center" wrapText="1"/>
    </xf>
    <xf numFmtId="0" fontId="50" fillId="43" borderId="14" xfId="0" applyFont="1" applyFill="1" applyBorder="1" applyAlignment="1" applyProtection="1">
      <alignment vertical="center" wrapText="1"/>
      <protection hidden="1"/>
    </xf>
    <xf numFmtId="0" fontId="50" fillId="43" borderId="57" xfId="0" applyFont="1" applyFill="1" applyBorder="1" applyAlignment="1" applyProtection="1">
      <alignment vertical="center" wrapText="1"/>
      <protection hidden="1"/>
    </xf>
    <xf numFmtId="0" fontId="50" fillId="43" borderId="58" xfId="0" applyFont="1" applyFill="1" applyBorder="1" applyAlignment="1" applyProtection="1">
      <alignment vertical="center" wrapText="1"/>
      <protection hidden="1"/>
    </xf>
    <xf numFmtId="0" fontId="60" fillId="0" borderId="0" xfId="0" applyFont="1" applyAlignment="1" applyProtection="1">
      <alignment horizontal="left" vertical="top" wrapText="1"/>
      <protection hidden="1"/>
    </xf>
    <xf numFmtId="0" fontId="60" fillId="0" borderId="21" xfId="0" applyFont="1" applyBorder="1" applyAlignment="1" applyProtection="1">
      <alignment horizontal="left" vertical="top" wrapText="1"/>
      <protection hidden="1"/>
    </xf>
    <xf numFmtId="0" fontId="62" fillId="0" borderId="0" xfId="0" applyFont="1" applyAlignment="1" applyProtection="1">
      <alignment horizontal="justify" vertical="center" wrapText="1"/>
      <protection hidden="1"/>
    </xf>
    <xf numFmtId="0" fontId="62" fillId="0" borderId="0" xfId="0" applyFont="1" applyAlignment="1" applyProtection="1">
      <alignment vertical="center" wrapText="1"/>
      <protection hidden="1"/>
    </xf>
    <xf numFmtId="0" fontId="62" fillId="0" borderId="21" xfId="0" applyFont="1" applyBorder="1" applyAlignment="1" applyProtection="1">
      <alignment vertical="center" wrapText="1"/>
      <protection hidden="1"/>
    </xf>
    <xf numFmtId="0" fontId="42" fillId="0" borderId="59" xfId="0" applyFont="1" applyBorder="1" applyAlignment="1" applyProtection="1">
      <alignment vertical="center" wrapText="1"/>
      <protection hidden="1"/>
    </xf>
    <xf numFmtId="0" fontId="0" fillId="0" borderId="59" xfId="0" applyBorder="1" applyAlignment="1" applyProtection="1">
      <alignment vertical="center" wrapText="1"/>
      <protection hidden="1"/>
    </xf>
    <xf numFmtId="0" fontId="0" fillId="0" borderId="60" xfId="0" applyBorder="1" applyAlignment="1" applyProtection="1">
      <alignment vertical="center" wrapText="1"/>
      <protection hidden="1"/>
    </xf>
    <xf numFmtId="0" fontId="42" fillId="0" borderId="61" xfId="0" applyFont="1" applyBorder="1" applyAlignment="1" applyProtection="1">
      <alignment vertical="center" wrapText="1"/>
      <protection hidden="1"/>
    </xf>
    <xf numFmtId="0" fontId="0" fillId="0" borderId="61" xfId="0" applyBorder="1" applyAlignment="1" applyProtection="1">
      <alignment vertical="center" wrapText="1"/>
      <protection hidden="1"/>
    </xf>
    <xf numFmtId="0" fontId="0" fillId="0" borderId="62" xfId="0" applyBorder="1" applyAlignment="1" applyProtection="1">
      <alignment vertical="center" wrapText="1"/>
      <protection hidden="1"/>
    </xf>
    <xf numFmtId="0" fontId="10" fillId="44" borderId="14" xfId="0" applyFont="1" applyFill="1" applyBorder="1" applyAlignment="1" applyProtection="1">
      <alignment horizontal="left" vertical="center" wrapText="1"/>
      <protection hidden="1"/>
    </xf>
    <xf numFmtId="0" fontId="1" fillId="44" borderId="57" xfId="0" applyFont="1" applyFill="1" applyBorder="1" applyAlignment="1" applyProtection="1">
      <alignment horizontal="left" vertical="center" wrapText="1"/>
      <protection hidden="1"/>
    </xf>
    <xf numFmtId="0" fontId="1" fillId="44" borderId="58" xfId="0" applyFont="1" applyFill="1" applyBorder="1" applyAlignment="1" applyProtection="1">
      <alignment horizontal="left" vertical="center" wrapText="1"/>
      <protection hidden="1"/>
    </xf>
    <xf numFmtId="0" fontId="22" fillId="0" borderId="44" xfId="0" applyNumberFormat="1" applyFont="1" applyBorder="1" applyAlignment="1" applyProtection="1">
      <alignment horizontal="left" vertical="center" wrapText="1"/>
      <protection hidden="1"/>
    </xf>
    <xf numFmtId="0" fontId="22" fillId="0" borderId="45" xfId="0" applyNumberFormat="1" applyFont="1" applyBorder="1" applyAlignment="1" applyProtection="1">
      <alignment horizontal="left" vertical="center" wrapText="1"/>
      <protection hidden="1"/>
    </xf>
    <xf numFmtId="0" fontId="22" fillId="0" borderId="47" xfId="0" applyNumberFormat="1" applyFont="1" applyBorder="1" applyAlignment="1" applyProtection="1">
      <alignment horizontal="left" vertical="center" wrapText="1"/>
      <protection hidden="1"/>
    </xf>
    <xf numFmtId="0" fontId="10" fillId="0" borderId="20" xfId="0" applyFont="1"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42" fillId="0" borderId="20" xfId="0" applyNumberFormat="1" applyFont="1" applyBorder="1" applyAlignment="1" applyProtection="1">
      <alignment horizontal="justify" vertical="center" wrapText="1"/>
      <protection hidden="1"/>
    </xf>
    <xf numFmtId="0" fontId="42" fillId="0" borderId="0" xfId="0" applyNumberFormat="1" applyFont="1" applyBorder="1" applyAlignment="1" applyProtection="1">
      <alignment horizontal="justify" vertical="center"/>
      <protection hidden="1"/>
    </xf>
    <xf numFmtId="0" fontId="42" fillId="0" borderId="21" xfId="0" applyNumberFormat="1" applyFont="1" applyBorder="1" applyAlignment="1" applyProtection="1">
      <alignment horizontal="justify" vertical="center"/>
      <protection hidden="1"/>
    </xf>
    <xf numFmtId="0" fontId="21" fillId="39" borderId="14" xfId="53" applyFont="1" applyFill="1" applyBorder="1" applyAlignment="1" applyProtection="1">
      <alignment horizontal="center" vertical="center" wrapText="1"/>
      <protection hidden="1"/>
    </xf>
    <xf numFmtId="0" fontId="21" fillId="39" borderId="57" xfId="53" applyFont="1" applyFill="1" applyBorder="1" applyAlignment="1" applyProtection="1">
      <alignment horizontal="center" vertical="center" wrapText="1"/>
      <protection hidden="1"/>
    </xf>
    <xf numFmtId="0" fontId="21" fillId="39" borderId="58" xfId="53" applyFont="1" applyFill="1" applyBorder="1" applyAlignment="1" applyProtection="1">
      <alignment horizontal="center" vertical="center" wrapText="1"/>
      <protection hidden="1"/>
    </xf>
    <xf numFmtId="0" fontId="42" fillId="0" borderId="20" xfId="0" applyNumberFormat="1" applyFont="1" applyBorder="1" applyAlignment="1" applyProtection="1">
      <alignment horizontal="justify" vertical="center"/>
      <protection hidden="1"/>
    </xf>
    <xf numFmtId="0" fontId="58" fillId="0" borderId="16" xfId="0" applyFont="1"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42" fillId="0" borderId="20" xfId="0" applyFont="1" applyBorder="1" applyAlignment="1">
      <alignment horizontal="left" vertical="center" wrapText="1"/>
    </xf>
    <xf numFmtId="0" fontId="42" fillId="0" borderId="44" xfId="0" applyNumberFormat="1" applyFont="1" applyBorder="1" applyAlignment="1" applyProtection="1">
      <alignment horizontal="left" vertical="center" wrapText="1"/>
      <protection hidden="1"/>
    </xf>
    <xf numFmtId="0" fontId="42" fillId="0" borderId="45" xfId="0" applyNumberFormat="1" applyFont="1" applyBorder="1" applyAlignment="1" applyProtection="1">
      <alignment horizontal="left" vertical="center" wrapText="1"/>
      <protection hidden="1"/>
    </xf>
    <xf numFmtId="0" fontId="42" fillId="0" borderId="47" xfId="0" applyNumberFormat="1" applyFont="1" applyBorder="1" applyAlignment="1" applyProtection="1">
      <alignment horizontal="left" vertical="center" wrapText="1"/>
      <protection hidden="1"/>
    </xf>
    <xf numFmtId="0" fontId="42" fillId="0" borderId="16" xfId="0" applyFont="1" applyBorder="1" applyAlignment="1" applyProtection="1">
      <alignment horizontal="left" vertical="center" wrapText="1"/>
      <protection hidden="1"/>
    </xf>
    <xf numFmtId="0" fontId="1" fillId="0" borderId="22" xfId="0" applyFont="1" applyBorder="1" applyAlignment="1" applyProtection="1">
      <alignment horizontal="left" vertical="center" wrapText="1"/>
      <protection hidden="1"/>
    </xf>
    <xf numFmtId="0" fontId="1" fillId="0" borderId="23" xfId="0" applyFont="1" applyBorder="1" applyAlignment="1" applyProtection="1">
      <alignment horizontal="left" vertical="center" wrapText="1"/>
      <protection hidden="1"/>
    </xf>
    <xf numFmtId="0" fontId="42" fillId="0" borderId="20" xfId="0" applyNumberFormat="1" applyFont="1" applyBorder="1" applyAlignment="1" applyProtection="1">
      <alignment horizontal="left" vertical="center" wrapText="1"/>
      <protection hidden="1"/>
    </xf>
    <xf numFmtId="0" fontId="42" fillId="0" borderId="0" xfId="0" applyNumberFormat="1" applyFont="1" applyBorder="1" applyAlignment="1" applyProtection="1">
      <alignment horizontal="left" vertical="center" wrapText="1"/>
      <protection hidden="1"/>
    </xf>
    <xf numFmtId="0" fontId="42" fillId="0" borderId="21" xfId="0" applyNumberFormat="1" applyFont="1" applyBorder="1" applyAlignment="1" applyProtection="1">
      <alignment horizontal="left" vertical="center" wrapText="1"/>
      <protection hidden="1"/>
    </xf>
    <xf numFmtId="0" fontId="42" fillId="0" borderId="20" xfId="0" applyFont="1" applyBorder="1" applyAlignment="1" applyProtection="1">
      <alignment horizontal="left" vertical="center" wrapText="1"/>
      <protection hidden="1"/>
    </xf>
    <xf numFmtId="0" fontId="1" fillId="0" borderId="0" xfId="0" applyFont="1" applyBorder="1" applyAlignment="1" applyProtection="1">
      <alignment horizontal="left" vertical="center" wrapText="1"/>
      <protection hidden="1"/>
    </xf>
    <xf numFmtId="0" fontId="1" fillId="0" borderId="21" xfId="0" applyFont="1" applyBorder="1" applyAlignment="1" applyProtection="1">
      <alignment horizontal="left" vertical="center" wrapText="1"/>
      <protection hidden="1"/>
    </xf>
    <xf numFmtId="0" fontId="42" fillId="0" borderId="20" xfId="0" applyNumberFormat="1" applyFont="1" applyBorder="1" applyAlignment="1" applyProtection="1">
      <alignment horizontal="justify" vertical="center" wrapText="1"/>
      <protection hidden="1"/>
    </xf>
    <xf numFmtId="0" fontId="42" fillId="0" borderId="0" xfId="0" applyNumberFormat="1" applyFont="1" applyBorder="1" applyAlignment="1" applyProtection="1">
      <alignment horizontal="justify" vertical="center" wrapText="1"/>
      <protection hidden="1"/>
    </xf>
    <xf numFmtId="0" fontId="42" fillId="0" borderId="21" xfId="0" applyNumberFormat="1" applyFont="1" applyBorder="1" applyAlignment="1" applyProtection="1">
      <alignment horizontal="justify" vertical="center" wrapText="1"/>
      <protection hidden="1"/>
    </xf>
    <xf numFmtId="0" fontId="42" fillId="0" borderId="20" xfId="0" applyNumberFormat="1" applyFont="1" applyBorder="1" applyAlignment="1" applyProtection="1">
      <alignment horizontal="justify" vertical="center"/>
      <protection hidden="1"/>
    </xf>
    <xf numFmtId="0" fontId="42" fillId="0" borderId="16" xfId="0" applyNumberFormat="1" applyFont="1" applyBorder="1" applyAlignment="1" applyProtection="1">
      <alignment horizontal="justify" vertical="center"/>
      <protection hidden="1"/>
    </xf>
    <xf numFmtId="0" fontId="42" fillId="0" borderId="22" xfId="0" applyNumberFormat="1" applyFont="1" applyBorder="1" applyAlignment="1" applyProtection="1">
      <alignment horizontal="justify" vertical="center"/>
      <protection hidden="1"/>
    </xf>
    <xf numFmtId="0" fontId="42" fillId="0" borderId="23" xfId="0" applyNumberFormat="1" applyFont="1" applyBorder="1" applyAlignment="1" applyProtection="1">
      <alignment horizontal="justify" vertical="center"/>
      <protection hidden="1"/>
    </xf>
    <xf numFmtId="0" fontId="42"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22" fillId="45" borderId="14" xfId="0" applyFont="1" applyFill="1" applyBorder="1" applyAlignment="1" applyProtection="1">
      <alignment horizontal="left" vertical="center" wrapText="1"/>
      <protection hidden="1"/>
    </xf>
    <xf numFmtId="0" fontId="24" fillId="45" borderId="57" xfId="0" applyFont="1" applyFill="1" applyBorder="1" applyAlignment="1" applyProtection="1">
      <alignment horizontal="left" vertical="center" wrapText="1"/>
      <protection hidden="1"/>
    </xf>
    <xf numFmtId="0" fontId="24" fillId="45" borderId="58" xfId="0" applyFont="1" applyFill="1" applyBorder="1" applyAlignment="1" applyProtection="1">
      <alignment horizontal="left" vertical="center" wrapText="1"/>
      <protection hidden="1"/>
    </xf>
    <xf numFmtId="0" fontId="42" fillId="0" borderId="44" xfId="0" applyFont="1" applyBorder="1" applyAlignment="1" applyProtection="1">
      <alignment horizontal="left" vertical="center" wrapText="1"/>
      <protection hidden="1"/>
    </xf>
    <xf numFmtId="0" fontId="1" fillId="0" borderId="45" xfId="0" applyFont="1" applyBorder="1" applyAlignment="1" applyProtection="1">
      <alignment horizontal="left" vertical="center" wrapText="1"/>
      <protection hidden="1"/>
    </xf>
    <xf numFmtId="0" fontId="1" fillId="0" borderId="47" xfId="0" applyFont="1" applyBorder="1" applyAlignment="1" applyProtection="1">
      <alignment horizontal="left" vertical="center" wrapText="1"/>
      <protection hidden="1"/>
    </xf>
    <xf numFmtId="0" fontId="11" fillId="0" borderId="0" xfId="0" applyFont="1" applyAlignment="1" applyProtection="1">
      <alignment horizontal="right" vertical="top"/>
      <protection hidden="1"/>
    </xf>
    <xf numFmtId="0" fontId="44" fillId="0" borderId="0" xfId="0" applyFont="1" applyAlignment="1" applyProtection="1">
      <alignment horizontal="center" vertical="center" wrapText="1"/>
      <protection hidden="1"/>
    </xf>
    <xf numFmtId="0" fontId="44" fillId="0" borderId="0" xfId="0" applyFont="1" applyAlignment="1" applyProtection="1">
      <alignment horizontal="center" vertical="center"/>
      <protection hidden="1"/>
    </xf>
    <xf numFmtId="0" fontId="42" fillId="0" borderId="0" xfId="0" applyFont="1" applyBorder="1" applyAlignment="1" applyProtection="1">
      <alignment horizontal="left" vertical="center" wrapText="1"/>
      <protection hidden="1"/>
    </xf>
    <xf numFmtId="0" fontId="42" fillId="0" borderId="21" xfId="0" applyFont="1" applyBorder="1" applyAlignment="1" applyProtection="1">
      <alignment horizontal="left" vertical="center" wrapText="1"/>
      <protection hidden="1"/>
    </xf>
    <xf numFmtId="0" fontId="10" fillId="0" borderId="20" xfId="0" applyFont="1" applyBorder="1" applyAlignment="1" applyProtection="1">
      <alignment horizontal="left" vertical="center" wrapText="1"/>
      <protection hidden="1"/>
    </xf>
    <xf numFmtId="0" fontId="1" fillId="0" borderId="0" xfId="0" applyFont="1" applyAlignment="1" applyProtection="1">
      <alignment horizontal="right" vertical="center"/>
      <protection hidden="1"/>
    </xf>
    <xf numFmtId="0" fontId="1" fillId="0" borderId="21" xfId="0" applyFont="1" applyBorder="1" applyAlignment="1" applyProtection="1">
      <alignment horizontal="right"/>
      <protection hidden="1"/>
    </xf>
    <xf numFmtId="0" fontId="0" fillId="0" borderId="0" xfId="0" applyBorder="1" applyAlignment="1" applyProtection="1">
      <alignment horizontal="left" vertical="top" wrapText="1" indent="2"/>
      <protection hidden="1"/>
    </xf>
    <xf numFmtId="0" fontId="0" fillId="0" borderId="0" xfId="0" applyAlignment="1" applyProtection="1">
      <alignment horizontal="left" vertical="top" wrapText="1" indent="2"/>
      <protection hidden="1"/>
    </xf>
    <xf numFmtId="0" fontId="15" fillId="0" borderId="0" xfId="0" applyFont="1" applyBorder="1" applyAlignment="1" applyProtection="1">
      <alignment vertical="top" wrapText="1"/>
      <protection hidden="1"/>
    </xf>
    <xf numFmtId="0" fontId="0" fillId="0" borderId="0" xfId="0" applyAlignment="1" applyProtection="1">
      <alignment vertical="top" wrapText="1"/>
      <protection hidden="1"/>
    </xf>
    <xf numFmtId="0" fontId="29" fillId="0" borderId="2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14" fillId="39" borderId="16" xfId="0" applyFont="1" applyFill="1" applyBorder="1" applyAlignment="1" applyProtection="1">
      <alignment horizontal="left" vertical="center"/>
      <protection hidden="1" locked="0"/>
    </xf>
    <xf numFmtId="0" fontId="14" fillId="0" borderId="22" xfId="0" applyFont="1" applyBorder="1" applyAlignment="1" applyProtection="1">
      <alignment horizontal="left" vertical="center"/>
      <protection hidden="1" locked="0"/>
    </xf>
    <xf numFmtId="0" fontId="14" fillId="0" borderId="23" xfId="0" applyFont="1" applyBorder="1" applyAlignment="1" applyProtection="1">
      <alignment horizontal="left" vertical="center"/>
      <protection hidden="1" locked="0"/>
    </xf>
    <xf numFmtId="0" fontId="14" fillId="39" borderId="16" xfId="0" applyFont="1" applyFill="1" applyBorder="1" applyAlignment="1" applyProtection="1">
      <alignment/>
      <protection hidden="1" locked="0"/>
    </xf>
    <xf numFmtId="0" fontId="14" fillId="0" borderId="22" xfId="0" applyFont="1" applyBorder="1" applyAlignment="1" applyProtection="1">
      <alignment/>
      <protection hidden="1" locked="0"/>
    </xf>
    <xf numFmtId="0" fontId="14" fillId="0" borderId="23" xfId="0" applyFont="1" applyBorder="1" applyAlignment="1" applyProtection="1">
      <alignment/>
      <protection hidden="1" locked="0"/>
    </xf>
    <xf numFmtId="0" fontId="29" fillId="0" borderId="0" xfId="0" applyFont="1" applyBorder="1" applyAlignment="1" applyProtection="1">
      <alignment vertical="top" wrapText="1"/>
      <protection hidden="1"/>
    </xf>
    <xf numFmtId="0" fontId="29" fillId="0" borderId="0" xfId="0" applyFont="1" applyAlignment="1" applyProtection="1">
      <alignment vertical="top" wrapText="1"/>
      <protection hidden="1"/>
    </xf>
    <xf numFmtId="14" fontId="14" fillId="39" borderId="16" xfId="0" applyNumberFormat="1" applyFont="1" applyFill="1" applyBorder="1" applyAlignment="1" applyProtection="1">
      <alignment horizontal="center" vertical="center"/>
      <protection hidden="1" locked="0"/>
    </xf>
    <xf numFmtId="14" fontId="14" fillId="39" borderId="23" xfId="0" applyNumberFormat="1" applyFont="1" applyFill="1" applyBorder="1" applyAlignment="1" applyProtection="1">
      <alignment horizontal="center" vertical="center"/>
      <protection hidden="1" locked="0"/>
    </xf>
    <xf numFmtId="0" fontId="29" fillId="0" borderId="0" xfId="0" applyFont="1" applyFill="1" applyBorder="1" applyAlignment="1" applyProtection="1">
      <alignment horizontal="left" vertical="center"/>
      <protection hidden="1"/>
    </xf>
    <xf numFmtId="0" fontId="29" fillId="0" borderId="0" xfId="0" applyFont="1" applyAlignment="1" applyProtection="1">
      <alignment vertical="center"/>
      <protection hidden="1"/>
    </xf>
    <xf numFmtId="0" fontId="25" fillId="0" borderId="0" xfId="0" applyFont="1" applyBorder="1" applyAlignment="1" applyProtection="1">
      <alignment horizontal="right" vertical="center"/>
      <protection hidden="1"/>
    </xf>
    <xf numFmtId="0" fontId="0" fillId="0" borderId="0" xfId="0" applyAlignment="1" applyProtection="1">
      <alignment horizontal="right"/>
      <protection hidden="1"/>
    </xf>
    <xf numFmtId="14" fontId="0" fillId="39" borderId="23" xfId="0" applyNumberFormat="1" applyFill="1" applyBorder="1" applyAlignment="1" applyProtection="1">
      <alignment horizontal="center" vertical="center"/>
      <protection hidden="1" locked="0"/>
    </xf>
    <xf numFmtId="0" fontId="1" fillId="0" borderId="0" xfId="0" applyFont="1" applyFill="1"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10" fillId="46" borderId="14" xfId="0" applyFont="1" applyFill="1" applyBorder="1" applyAlignment="1" applyProtection="1">
      <alignment horizontal="left" vertical="center" wrapText="1"/>
      <protection hidden="1"/>
    </xf>
    <xf numFmtId="0" fontId="0" fillId="46" borderId="57" xfId="0" applyFill="1" applyBorder="1" applyAlignment="1" applyProtection="1">
      <alignment horizontal="left" vertical="center" wrapText="1"/>
      <protection hidden="1"/>
    </xf>
    <xf numFmtId="0" fontId="0" fillId="46" borderId="58" xfId="0" applyFill="1" applyBorder="1" applyAlignment="1" applyProtection="1">
      <alignment horizontal="left" vertical="center" wrapText="1"/>
      <protection hidden="1"/>
    </xf>
    <xf numFmtId="0" fontId="11" fillId="0" borderId="20" xfId="0" applyFont="1" applyFill="1" applyBorder="1" applyAlignment="1" applyProtection="1">
      <alignment horizontal="right" vertical="center" wrapText="1"/>
      <protection hidden="1"/>
    </xf>
    <xf numFmtId="0" fontId="11" fillId="0" borderId="0" xfId="0" applyFont="1" applyFill="1" applyBorder="1" applyAlignment="1" applyProtection="1">
      <alignment horizontal="right" vertical="center" wrapText="1"/>
      <protection hidden="1"/>
    </xf>
    <xf numFmtId="0" fontId="11" fillId="0" borderId="21" xfId="0" applyFont="1" applyFill="1" applyBorder="1" applyAlignment="1" applyProtection="1">
      <alignment horizontal="right" vertical="center" wrapText="1"/>
      <protection hidden="1"/>
    </xf>
    <xf numFmtId="0" fontId="8" fillId="0" borderId="0" xfId="0" applyFont="1" applyBorder="1" applyAlignment="1" applyProtection="1">
      <alignment horizontal="left" vertical="top"/>
      <protection hidden="1"/>
    </xf>
    <xf numFmtId="0" fontId="8" fillId="0" borderId="0" xfId="0" applyFont="1" applyBorder="1" applyAlignment="1" applyProtection="1">
      <alignment horizontal="left"/>
      <protection hidden="1"/>
    </xf>
    <xf numFmtId="0" fontId="8" fillId="0" borderId="45" xfId="0" applyFont="1" applyBorder="1" applyAlignment="1" applyProtection="1">
      <alignment horizontal="left" vertical="top"/>
      <protection hidden="1"/>
    </xf>
    <xf numFmtId="0" fontId="30" fillId="0" borderId="0" xfId="0" applyFont="1" applyBorder="1" applyAlignment="1" applyProtection="1">
      <alignment vertical="top" wrapText="1"/>
      <protection hidden="1"/>
    </xf>
    <xf numFmtId="0" fontId="0" fillId="0" borderId="0" xfId="0" applyAlignment="1" applyProtection="1">
      <alignment wrapText="1"/>
      <protection hidden="1"/>
    </xf>
    <xf numFmtId="49" fontId="14" fillId="39" borderId="16" xfId="0" applyNumberFormat="1" applyFont="1" applyFill="1" applyBorder="1" applyAlignment="1" applyProtection="1">
      <alignment horizontal="center" vertical="center"/>
      <protection locked="0"/>
    </xf>
    <xf numFmtId="49" fontId="14" fillId="0" borderId="23" xfId="0" applyNumberFormat="1" applyFont="1" applyBorder="1" applyAlignment="1" applyProtection="1">
      <alignment horizontal="center" vertical="center"/>
      <protection locked="0"/>
    </xf>
    <xf numFmtId="0" fontId="0" fillId="0" borderId="21" xfId="0" applyBorder="1" applyAlignment="1" applyProtection="1">
      <alignment horizontal="right"/>
      <protection hidden="1"/>
    </xf>
    <xf numFmtId="49" fontId="14" fillId="39" borderId="16" xfId="0" applyNumberFormat="1" applyFont="1" applyFill="1" applyBorder="1" applyAlignment="1" applyProtection="1">
      <alignment horizontal="left" vertical="center"/>
      <protection hidden="1" locked="0"/>
    </xf>
    <xf numFmtId="49" fontId="14" fillId="0" borderId="22" xfId="0" applyNumberFormat="1" applyFont="1" applyBorder="1" applyAlignment="1" applyProtection="1">
      <alignment horizontal="left" vertical="center"/>
      <protection hidden="1" locked="0"/>
    </xf>
    <xf numFmtId="49" fontId="14" fillId="0" borderId="23" xfId="0" applyNumberFormat="1" applyFont="1" applyBorder="1" applyAlignment="1" applyProtection="1">
      <alignment horizontal="left" vertical="center"/>
      <protection hidden="1" locked="0"/>
    </xf>
    <xf numFmtId="0" fontId="8" fillId="0" borderId="0" xfId="0" applyFont="1" applyBorder="1" applyAlignment="1" applyProtection="1">
      <alignment horizontal="center" vertical="top"/>
      <protection hidden="1"/>
    </xf>
    <xf numFmtId="0" fontId="0" fillId="0" borderId="0" xfId="0" applyBorder="1" applyAlignment="1" applyProtection="1">
      <alignment horizontal="center"/>
      <protection hidden="1"/>
    </xf>
    <xf numFmtId="49" fontId="14" fillId="39" borderId="16" xfId="0" applyNumberFormat="1" applyFont="1" applyFill="1" applyBorder="1" applyAlignment="1" applyProtection="1">
      <alignment horizontal="center" vertical="center"/>
      <protection hidden="1" locked="0"/>
    </xf>
    <xf numFmtId="0" fontId="0" fillId="0" borderId="23" xfId="0" applyBorder="1" applyAlignment="1" applyProtection="1">
      <alignment/>
      <protection hidden="1" locked="0"/>
    </xf>
    <xf numFmtId="49" fontId="14" fillId="0" borderId="23" xfId="0" applyNumberFormat="1" applyFont="1" applyBorder="1" applyAlignment="1" applyProtection="1">
      <alignment horizontal="center" vertical="center"/>
      <protection hidden="1" locked="0"/>
    </xf>
    <xf numFmtId="49" fontId="57" fillId="0" borderId="63" xfId="0" applyNumberFormat="1" applyFont="1" applyFill="1" applyBorder="1" applyAlignment="1" applyProtection="1">
      <alignment horizontal="center" vertical="center"/>
      <protection hidden="1"/>
    </xf>
    <xf numFmtId="49" fontId="57" fillId="0" borderId="64" xfId="0" applyNumberFormat="1" applyFont="1" applyFill="1" applyBorder="1" applyAlignment="1" applyProtection="1">
      <alignment horizontal="center" vertical="center"/>
      <protection hidden="1"/>
    </xf>
    <xf numFmtId="0" fontId="0" fillId="0" borderId="45" xfId="0" applyBorder="1" applyAlignment="1" applyProtection="1">
      <alignment horizontal="center"/>
      <protection hidden="1"/>
    </xf>
    <xf numFmtId="0" fontId="28" fillId="0" borderId="0" xfId="0" applyFont="1" applyAlignment="1" applyProtection="1">
      <alignment horizontal="right" vertical="center" wrapText="1"/>
      <protection hidden="1"/>
    </xf>
    <xf numFmtId="0" fontId="28" fillId="0" borderId="0" xfId="0" applyFont="1" applyBorder="1" applyAlignment="1" applyProtection="1">
      <alignment horizontal="right" wrapText="1"/>
      <protection hidden="1"/>
    </xf>
    <xf numFmtId="0" fontId="3" fillId="0" borderId="0" xfId="0" applyFont="1" applyAlignment="1" applyProtection="1">
      <alignment horizontal="right" vertical="center" wrapText="1"/>
      <protection hidden="1"/>
    </xf>
    <xf numFmtId="0" fontId="3" fillId="0" borderId="0" xfId="0" applyFont="1" applyAlignment="1" applyProtection="1">
      <alignment vertical="center" wrapText="1"/>
      <protection hidden="1"/>
    </xf>
    <xf numFmtId="0" fontId="3" fillId="0" borderId="21" xfId="0" applyFont="1" applyBorder="1" applyAlignment="1" applyProtection="1">
      <alignment vertical="center" wrapText="1"/>
      <protection hidden="1"/>
    </xf>
    <xf numFmtId="0" fontId="3" fillId="0" borderId="0" xfId="0" applyFont="1" applyBorder="1" applyAlignment="1" applyProtection="1">
      <alignment horizontal="right" vertical="center"/>
      <protection hidden="1"/>
    </xf>
    <xf numFmtId="0" fontId="3" fillId="0" borderId="21" xfId="0" applyFont="1" applyBorder="1" applyAlignment="1" applyProtection="1">
      <alignment horizontal="right" vertical="center"/>
      <protection hidden="1"/>
    </xf>
    <xf numFmtId="0" fontId="8" fillId="0" borderId="65" xfId="0" applyFont="1" applyBorder="1" applyAlignment="1" applyProtection="1">
      <alignment horizontal="center" vertical="top"/>
      <protection hidden="1"/>
    </xf>
    <xf numFmtId="0" fontId="0" fillId="0" borderId="65" xfId="0" applyBorder="1" applyAlignment="1" applyProtection="1">
      <alignment/>
      <protection hidden="1"/>
    </xf>
    <xf numFmtId="0" fontId="1" fillId="0" borderId="0" xfId="0" applyFont="1" applyAlignment="1" applyProtection="1">
      <alignment horizontal="right" vertical="center" wrapText="1"/>
      <protection hidden="1"/>
    </xf>
    <xf numFmtId="0" fontId="1" fillId="0" borderId="21" xfId="0" applyFont="1" applyBorder="1" applyAlignment="1" applyProtection="1">
      <alignment horizontal="right" wrapText="1"/>
      <protection hidden="1"/>
    </xf>
    <xf numFmtId="0" fontId="1" fillId="0" borderId="45" xfId="0" applyFont="1" applyBorder="1" applyAlignment="1" applyProtection="1">
      <alignment vertical="center"/>
      <protection hidden="1"/>
    </xf>
    <xf numFmtId="0" fontId="0" fillId="0" borderId="45" xfId="0" applyBorder="1" applyAlignment="1" applyProtection="1">
      <alignment vertical="center"/>
      <protection hidden="1"/>
    </xf>
    <xf numFmtId="0" fontId="8" fillId="0" borderId="45" xfId="0" applyFont="1" applyBorder="1" applyAlignment="1" applyProtection="1">
      <alignment horizontal="center" vertical="top"/>
      <protection hidden="1"/>
    </xf>
    <xf numFmtId="0" fontId="32"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protection hidden="1"/>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1" fillId="0" borderId="45" xfId="0" applyFont="1" applyBorder="1" applyAlignment="1" applyProtection="1">
      <alignment horizontal="center" vertical="top"/>
      <protection hidden="1"/>
    </xf>
    <xf numFmtId="0" fontId="48" fillId="0" borderId="0" xfId="0" applyFont="1" applyBorder="1" applyAlignment="1" applyProtection="1">
      <alignment horizontal="left" vertical="center"/>
      <protection hidden="1"/>
    </xf>
    <xf numFmtId="0" fontId="49" fillId="0" borderId="0" xfId="0" applyFont="1" applyAlignment="1" applyProtection="1">
      <alignment/>
      <protection hidden="1"/>
    </xf>
    <xf numFmtId="4" fontId="31" fillId="47" borderId="16" xfId="0" applyNumberFormat="1" applyFont="1" applyFill="1" applyBorder="1" applyAlignment="1" applyProtection="1">
      <alignment horizontal="center" vertical="center"/>
      <protection hidden="1"/>
    </xf>
    <xf numFmtId="4" fontId="31" fillId="36" borderId="22" xfId="0" applyNumberFormat="1" applyFont="1" applyFill="1" applyBorder="1" applyAlignment="1" applyProtection="1">
      <alignment horizontal="center" vertical="center"/>
      <protection hidden="1"/>
    </xf>
    <xf numFmtId="4" fontId="31" fillId="36" borderId="23" xfId="0" applyNumberFormat="1" applyFont="1" applyFill="1" applyBorder="1" applyAlignment="1" applyProtection="1">
      <alignment horizontal="center" vertical="center"/>
      <protection hidden="1"/>
    </xf>
    <xf numFmtId="0" fontId="28" fillId="0" borderId="0" xfId="0" applyFont="1" applyBorder="1" applyAlignment="1" applyProtection="1">
      <alignment vertical="top" wrapText="1"/>
      <protection hidden="1"/>
    </xf>
    <xf numFmtId="0" fontId="2" fillId="0" borderId="0" xfId="0" applyFont="1" applyBorder="1" applyAlignment="1" applyProtection="1">
      <alignment horizontal="center" vertical="top" wrapText="1"/>
      <protection hidden="1"/>
    </xf>
    <xf numFmtId="0" fontId="1" fillId="0" borderId="0" xfId="0" applyFont="1" applyBorder="1" applyAlignment="1" applyProtection="1">
      <alignment horizontal="right" vertical="center" wrapText="1"/>
      <protection hidden="1"/>
    </xf>
    <xf numFmtId="0" fontId="0" fillId="0" borderId="21" xfId="0" applyBorder="1" applyAlignment="1" applyProtection="1">
      <alignment horizontal="right" wrapText="1"/>
      <protection hidden="1"/>
    </xf>
    <xf numFmtId="0" fontId="28" fillId="0" borderId="0" xfId="0" applyFont="1" applyAlignment="1" applyProtection="1">
      <alignment horizontal="right" vertical="center"/>
      <protection hidden="1"/>
    </xf>
    <xf numFmtId="0" fontId="28" fillId="0" borderId="21" xfId="0" applyFont="1" applyBorder="1" applyAlignment="1" applyProtection="1">
      <alignment horizontal="right"/>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0" fillId="0" borderId="0" xfId="0" applyAlignment="1" applyProtection="1">
      <alignment horizontal="right" vertical="top" wrapText="1"/>
      <protection hidden="1"/>
    </xf>
    <xf numFmtId="0" fontId="1" fillId="0" borderId="0" xfId="0" applyFont="1" applyAlignment="1" applyProtection="1">
      <alignment horizontal="right" vertical="top" wrapText="1"/>
      <protection hidden="1"/>
    </xf>
    <xf numFmtId="0" fontId="1" fillId="0" borderId="0" xfId="0" applyFont="1" applyBorder="1" applyAlignment="1" applyProtection="1">
      <alignment horizontal="right" vertical="top" wrapText="1"/>
      <protection hidden="1"/>
    </xf>
    <xf numFmtId="0" fontId="57" fillId="0" borderId="63" xfId="0" applyFont="1" applyFill="1" applyBorder="1" applyAlignment="1" applyProtection="1">
      <alignment horizontal="left" vertical="center"/>
      <protection hidden="1"/>
    </xf>
    <xf numFmtId="0" fontId="57" fillId="0" borderId="66" xfId="0" applyFont="1" applyFill="1" applyBorder="1" applyAlignment="1" applyProtection="1">
      <alignment/>
      <protection hidden="1"/>
    </xf>
    <xf numFmtId="0" fontId="57" fillId="0" borderId="64" xfId="0" applyFont="1" applyFill="1" applyBorder="1" applyAlignment="1" applyProtection="1">
      <alignment/>
      <protection hidden="1"/>
    </xf>
    <xf numFmtId="0" fontId="0" fillId="0" borderId="0" xfId="0" applyBorder="1" applyAlignment="1" applyProtection="1">
      <alignment horizontal="right" wrapText="1"/>
      <protection hidden="1"/>
    </xf>
    <xf numFmtId="0" fontId="0" fillId="0" borderId="0" xfId="0" applyAlignment="1" applyProtection="1">
      <alignment horizontal="right" wrapText="1"/>
      <protection hidden="1"/>
    </xf>
    <xf numFmtId="0" fontId="29" fillId="0" borderId="0" xfId="0" applyFont="1" applyFill="1" applyBorder="1" applyAlignment="1" applyProtection="1">
      <alignment vertical="top" wrapText="1"/>
      <protection hidden="1"/>
    </xf>
    <xf numFmtId="1" fontId="14" fillId="39" borderId="16" xfId="0" applyNumberFormat="1" applyFont="1" applyFill="1" applyBorder="1" applyAlignment="1" applyProtection="1">
      <alignment horizontal="center" vertical="center"/>
      <protection hidden="1" locked="0"/>
    </xf>
    <xf numFmtId="1" fontId="14" fillId="39" borderId="23" xfId="0" applyNumberFormat="1" applyFont="1" applyFill="1" applyBorder="1" applyAlignment="1" applyProtection="1">
      <alignment horizontal="center" vertical="center"/>
      <protection hidden="1" locked="0"/>
    </xf>
    <xf numFmtId="0" fontId="12" fillId="37" borderId="14" xfId="0" applyFont="1" applyFill="1" applyBorder="1" applyAlignment="1">
      <alignment horizontal="left" vertical="center" wrapText="1"/>
    </xf>
    <xf numFmtId="0" fontId="52" fillId="37" borderId="57" xfId="0" applyFont="1" applyFill="1" applyBorder="1" applyAlignment="1">
      <alignment horizontal="left" vertical="center" wrapText="1"/>
    </xf>
    <xf numFmtId="0" fontId="52" fillId="37" borderId="58" xfId="0" applyFont="1" applyFill="1" applyBorder="1" applyAlignment="1">
      <alignment horizontal="left" vertical="center" wrapText="1"/>
    </xf>
    <xf numFmtId="0" fontId="12" fillId="37" borderId="57" xfId="0" applyFont="1" applyFill="1" applyBorder="1" applyAlignment="1">
      <alignment horizontal="left" vertical="center" wrapText="1"/>
    </xf>
    <xf numFmtId="49" fontId="3" fillId="0" borderId="67" xfId="0" applyNumberFormat="1" applyFont="1" applyBorder="1" applyAlignment="1">
      <alignment horizontal="left" vertical="center" wrapText="1"/>
    </xf>
    <xf numFmtId="49" fontId="3" fillId="0" borderId="68" xfId="0" applyNumberFormat="1" applyFont="1" applyBorder="1" applyAlignment="1">
      <alignment horizontal="left" vertical="center" wrapText="1"/>
    </xf>
    <xf numFmtId="49" fontId="3" fillId="0" borderId="69" xfId="0" applyNumberFormat="1" applyFont="1" applyBorder="1" applyAlignment="1">
      <alignment horizontal="left" vertical="center" wrapText="1"/>
    </xf>
    <xf numFmtId="49" fontId="2" fillId="0" borderId="67" xfId="0" applyNumberFormat="1" applyFont="1" applyBorder="1" applyAlignment="1">
      <alignment horizontal="left" vertical="center" wrapText="1"/>
    </xf>
    <xf numFmtId="49" fontId="2" fillId="0" borderId="68" xfId="0" applyNumberFormat="1" applyFont="1" applyBorder="1" applyAlignment="1">
      <alignment horizontal="left" vertical="center" wrapText="1"/>
    </xf>
    <xf numFmtId="49" fontId="2" fillId="0" borderId="69" xfId="0" applyNumberFormat="1" applyFont="1" applyBorder="1" applyAlignment="1">
      <alignment horizontal="left" vertical="center" wrapText="1"/>
    </xf>
    <xf numFmtId="0" fontId="16" fillId="33" borderId="70" xfId="0" applyFont="1" applyFill="1" applyBorder="1" applyAlignment="1" applyProtection="1">
      <alignment horizontal="center" vertical="center" wrapText="1"/>
      <protection hidden="1"/>
    </xf>
    <xf numFmtId="0" fontId="15" fillId="33" borderId="71"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0" fillId="0" borderId="72" xfId="0" applyBorder="1" applyAlignment="1" applyProtection="1">
      <alignment horizontal="center" vertical="center" wrapText="1"/>
      <protection hidden="1"/>
    </xf>
    <xf numFmtId="0" fontId="14" fillId="0" borderId="0" xfId="0" applyFont="1" applyFill="1" applyBorder="1" applyAlignment="1" applyProtection="1">
      <alignment horizontal="center" vertical="top" wrapText="1"/>
      <protection hidden="1"/>
    </xf>
    <xf numFmtId="0" fontId="0" fillId="0" borderId="0" xfId="0" applyBorder="1" applyAlignment="1" applyProtection="1">
      <alignment horizontal="center" vertical="top" wrapText="1"/>
      <protection hidden="1"/>
    </xf>
    <xf numFmtId="0" fontId="0" fillId="0" borderId="72" xfId="0" applyBorder="1" applyAlignment="1" applyProtection="1">
      <alignment horizontal="center" vertical="top" wrapText="1"/>
      <protection hidden="1"/>
    </xf>
    <xf numFmtId="0" fontId="36" fillId="34" borderId="42" xfId="0" applyFont="1" applyFill="1" applyBorder="1" applyAlignment="1" applyProtection="1">
      <alignment horizontal="center" vertical="center" wrapText="1"/>
      <protection hidden="1"/>
    </xf>
    <xf numFmtId="0" fontId="36" fillId="34" borderId="73" xfId="0" applyFont="1" applyFill="1" applyBorder="1" applyAlignment="1" applyProtection="1">
      <alignment horizontal="center" vertical="center" wrapText="1"/>
      <protection hidden="1"/>
    </xf>
    <xf numFmtId="0" fontId="36" fillId="34" borderId="74" xfId="0" applyFont="1" applyFill="1" applyBorder="1" applyAlignment="1" applyProtection="1">
      <alignment horizontal="center" vertical="center" wrapText="1"/>
      <protection hidden="1"/>
    </xf>
    <xf numFmtId="0" fontId="35" fillId="34" borderId="41" xfId="0" applyFont="1" applyFill="1" applyBorder="1" applyAlignment="1" applyProtection="1">
      <alignment horizontal="center" vertical="center" wrapText="1"/>
      <protection hidden="1"/>
    </xf>
    <xf numFmtId="0" fontId="14" fillId="39" borderId="14" xfId="0" applyFont="1" applyFill="1" applyBorder="1" applyAlignment="1" applyProtection="1">
      <alignment vertical="center" wrapText="1"/>
      <protection hidden="1"/>
    </xf>
    <xf numFmtId="0" fontId="14" fillId="39" borderId="57" xfId="0" applyFont="1" applyFill="1" applyBorder="1" applyAlignment="1" applyProtection="1">
      <alignment vertical="center" wrapText="1"/>
      <protection hidden="1"/>
    </xf>
    <xf numFmtId="0" fontId="14" fillId="39" borderId="58" xfId="0" applyFont="1" applyFill="1" applyBorder="1" applyAlignment="1" applyProtection="1">
      <alignment vertical="center" wrapText="1"/>
      <protection hidden="1"/>
    </xf>
    <xf numFmtId="0" fontId="12" fillId="37" borderId="16" xfId="0" applyFont="1" applyFill="1" applyBorder="1" applyAlignment="1">
      <alignment horizontal="left" vertical="center" wrapText="1"/>
    </xf>
    <xf numFmtId="0" fontId="52" fillId="37" borderId="22" xfId="0" applyFont="1" applyFill="1" applyBorder="1" applyAlignment="1">
      <alignment horizontal="left" vertical="center" wrapText="1"/>
    </xf>
    <xf numFmtId="0" fontId="52" fillId="37" borderId="23" xfId="0" applyFont="1" applyFill="1" applyBorder="1" applyAlignment="1">
      <alignment horizontal="left" vertical="center" wrapText="1"/>
    </xf>
    <xf numFmtId="49" fontId="3" fillId="0" borderId="67" xfId="0" applyNumberFormat="1" applyFont="1" applyBorder="1" applyAlignment="1" applyProtection="1">
      <alignment horizontal="left" vertical="center" wrapText="1"/>
      <protection hidden="1"/>
    </xf>
    <xf numFmtId="49" fontId="3" fillId="0" borderId="68" xfId="0" applyNumberFormat="1" applyFont="1" applyBorder="1" applyAlignment="1" applyProtection="1">
      <alignment horizontal="left" vertical="center" wrapText="1"/>
      <protection hidden="1"/>
    </xf>
    <xf numFmtId="49" fontId="3" fillId="0" borderId="69" xfId="0" applyNumberFormat="1" applyFont="1" applyBorder="1" applyAlignment="1" applyProtection="1">
      <alignment horizontal="left" vertical="center" wrapText="1"/>
      <protection hidden="1"/>
    </xf>
    <xf numFmtId="49" fontId="3" fillId="0" borderId="75" xfId="0" applyNumberFormat="1" applyFont="1" applyBorder="1" applyAlignment="1" applyProtection="1">
      <alignment horizontal="left" vertical="center" wrapText="1"/>
      <protection hidden="1"/>
    </xf>
    <xf numFmtId="49" fontId="3" fillId="0" borderId="76" xfId="0" applyNumberFormat="1" applyFont="1" applyBorder="1" applyAlignment="1" applyProtection="1">
      <alignment horizontal="left" vertical="center" wrapText="1"/>
      <protection hidden="1"/>
    </xf>
    <xf numFmtId="49" fontId="3" fillId="0" borderId="77" xfId="0" applyNumberFormat="1" applyFont="1" applyBorder="1" applyAlignment="1" applyProtection="1">
      <alignment horizontal="left" vertical="center" wrapText="1"/>
      <protection hidden="1"/>
    </xf>
    <xf numFmtId="49" fontId="1" fillId="0" borderId="67" xfId="0" applyNumberFormat="1" applyFont="1" applyBorder="1" applyAlignment="1" applyProtection="1">
      <alignment horizontal="left" vertical="center" wrapText="1"/>
      <protection hidden="1"/>
    </xf>
    <xf numFmtId="49" fontId="1" fillId="0" borderId="68" xfId="0" applyNumberFormat="1" applyFont="1" applyBorder="1" applyAlignment="1" applyProtection="1">
      <alignment horizontal="left" vertical="center" wrapText="1"/>
      <protection hidden="1"/>
    </xf>
    <xf numFmtId="49" fontId="1" fillId="0" borderId="69" xfId="0" applyNumberFormat="1" applyFont="1" applyBorder="1" applyAlignment="1" applyProtection="1">
      <alignment horizontal="left" vertical="center" wrapText="1"/>
      <protection hidden="1"/>
    </xf>
    <xf numFmtId="49" fontId="3" fillId="0" borderId="67" xfId="0" applyNumberFormat="1" applyFont="1" applyBorder="1" applyAlignment="1" applyProtection="1">
      <alignment horizontal="left" vertical="center" shrinkToFit="1"/>
      <protection hidden="1"/>
    </xf>
    <xf numFmtId="49" fontId="3" fillId="0" borderId="68" xfId="0" applyNumberFormat="1" applyFont="1" applyBorder="1" applyAlignment="1" applyProtection="1">
      <alignment horizontal="left" vertical="center" shrinkToFit="1"/>
      <protection hidden="1"/>
    </xf>
    <xf numFmtId="49" fontId="3" fillId="0" borderId="69" xfId="0" applyNumberFormat="1" applyFont="1" applyBorder="1" applyAlignment="1" applyProtection="1">
      <alignment horizontal="left" vertical="center" shrinkToFit="1"/>
      <protection hidden="1"/>
    </xf>
    <xf numFmtId="49" fontId="2" fillId="0" borderId="78" xfId="0" applyNumberFormat="1" applyFont="1" applyBorder="1" applyAlignment="1" applyProtection="1">
      <alignment horizontal="left" vertical="center" wrapText="1"/>
      <protection hidden="1"/>
    </xf>
    <xf numFmtId="49" fontId="2" fillId="0" borderId="79" xfId="0" applyNumberFormat="1" applyFont="1" applyBorder="1" applyAlignment="1" applyProtection="1">
      <alignment horizontal="left" vertical="center" wrapText="1"/>
      <protection hidden="1"/>
    </xf>
    <xf numFmtId="49" fontId="2" fillId="0" borderId="80" xfId="0" applyNumberFormat="1" applyFont="1" applyBorder="1" applyAlignment="1" applyProtection="1">
      <alignment horizontal="left" vertical="center" wrapText="1"/>
      <protection hidden="1"/>
    </xf>
    <xf numFmtId="49" fontId="9" fillId="0" borderId="81" xfId="0" applyNumberFormat="1" applyFont="1" applyBorder="1" applyAlignment="1">
      <alignment horizontal="left" vertical="center" wrapText="1"/>
    </xf>
    <xf numFmtId="49" fontId="9" fillId="0" borderId="82" xfId="0" applyNumberFormat="1" applyFont="1" applyBorder="1" applyAlignment="1">
      <alignment horizontal="left" vertical="center" wrapText="1"/>
    </xf>
    <xf numFmtId="49" fontId="9" fillId="0" borderId="83" xfId="0" applyNumberFormat="1" applyFont="1" applyBorder="1" applyAlignment="1">
      <alignment horizontal="left" vertical="center" wrapText="1"/>
    </xf>
    <xf numFmtId="49" fontId="12" fillId="0" borderId="67" xfId="0" applyNumberFormat="1" applyFont="1" applyBorder="1" applyAlignment="1">
      <alignment horizontal="left" vertical="center" wrapText="1"/>
    </xf>
    <xf numFmtId="49" fontId="12" fillId="0" borderId="68" xfId="0" applyNumberFormat="1" applyFont="1" applyBorder="1" applyAlignment="1">
      <alignment horizontal="left" vertical="center" wrapText="1"/>
    </xf>
    <xf numFmtId="49" fontId="12" fillId="0" borderId="69" xfId="0" applyNumberFormat="1" applyFont="1" applyBorder="1" applyAlignment="1">
      <alignment horizontal="left" vertical="center" wrapText="1"/>
    </xf>
    <xf numFmtId="49" fontId="3" fillId="0" borderId="75" xfId="0" applyNumberFormat="1" applyFont="1" applyBorder="1" applyAlignment="1">
      <alignment horizontal="left" vertical="center" wrapText="1"/>
    </xf>
    <xf numFmtId="49" fontId="3" fillId="0" borderId="76" xfId="0" applyNumberFormat="1" applyFont="1" applyBorder="1" applyAlignment="1">
      <alignment horizontal="left" vertical="center" wrapText="1"/>
    </xf>
    <xf numFmtId="49" fontId="3" fillId="0" borderId="77" xfId="0" applyNumberFormat="1" applyFont="1" applyBorder="1" applyAlignment="1">
      <alignment horizontal="left" vertical="center" wrapText="1"/>
    </xf>
    <xf numFmtId="49" fontId="2" fillId="0" borderId="78" xfId="0" applyNumberFormat="1" applyFont="1" applyBorder="1" applyAlignment="1">
      <alignment horizontal="left" vertical="center" wrapText="1"/>
    </xf>
    <xf numFmtId="49" fontId="3" fillId="0" borderId="79" xfId="0" applyNumberFormat="1" applyFont="1" applyBorder="1" applyAlignment="1">
      <alignment horizontal="left" vertical="center" wrapText="1"/>
    </xf>
    <xf numFmtId="49" fontId="3" fillId="0" borderId="80" xfId="0" applyNumberFormat="1" applyFont="1" applyBorder="1" applyAlignment="1">
      <alignment horizontal="left" vertical="center" wrapText="1"/>
    </xf>
    <xf numFmtId="49" fontId="9" fillId="0" borderId="67" xfId="0" applyNumberFormat="1" applyFont="1" applyBorder="1" applyAlignment="1">
      <alignment horizontal="left" vertical="center" wrapText="1"/>
    </xf>
    <xf numFmtId="49" fontId="9" fillId="0" borderId="68" xfId="0" applyNumberFormat="1" applyFont="1" applyBorder="1" applyAlignment="1">
      <alignment horizontal="left" vertical="center" wrapText="1"/>
    </xf>
    <xf numFmtId="49" fontId="9" fillId="0" borderId="69" xfId="0" applyNumberFormat="1" applyFont="1" applyBorder="1" applyAlignment="1">
      <alignment horizontal="left" vertical="center" wrapText="1"/>
    </xf>
    <xf numFmtId="0" fontId="13" fillId="0" borderId="0" xfId="0" applyFont="1" applyBorder="1" applyAlignment="1" applyProtection="1">
      <alignment horizontal="center" vertical="center" wrapText="1"/>
      <protection hidden="1"/>
    </xf>
    <xf numFmtId="0" fontId="13" fillId="0" borderId="72" xfId="0" applyFont="1" applyBorder="1" applyAlignment="1" applyProtection="1">
      <alignment horizontal="center" vertical="center" wrapText="1"/>
      <protection hidden="1"/>
    </xf>
    <xf numFmtId="0" fontId="13" fillId="0" borderId="0" xfId="0" applyFont="1" applyBorder="1" applyAlignment="1" applyProtection="1">
      <alignment horizontal="center" vertical="top" wrapText="1"/>
      <protection hidden="1"/>
    </xf>
    <xf numFmtId="0" fontId="13" fillId="0" borderId="72" xfId="0" applyFont="1" applyBorder="1" applyAlignment="1" applyProtection="1">
      <alignment horizontal="center" vertical="top" wrapText="1"/>
      <protection hidden="1"/>
    </xf>
    <xf numFmtId="0" fontId="14" fillId="48" borderId="14" xfId="0" applyFont="1" applyFill="1" applyBorder="1" applyAlignment="1" applyProtection="1">
      <alignment vertical="center" wrapText="1"/>
      <protection hidden="1"/>
    </xf>
    <xf numFmtId="0" fontId="14" fillId="48" borderId="57" xfId="0" applyFont="1" applyFill="1" applyBorder="1" applyAlignment="1" applyProtection="1">
      <alignment vertical="center" wrapText="1"/>
      <protection hidden="1"/>
    </xf>
    <xf numFmtId="0" fontId="14" fillId="48" borderId="58" xfId="0" applyFont="1" applyFill="1" applyBorder="1" applyAlignment="1" applyProtection="1">
      <alignment vertical="center" wrapText="1"/>
      <protection hidden="1"/>
    </xf>
    <xf numFmtId="0" fontId="36" fillId="34" borderId="39" xfId="0" applyFont="1" applyFill="1" applyBorder="1" applyAlignment="1" applyProtection="1">
      <alignment horizontal="center" vertical="center" wrapText="1"/>
      <protection hidden="1"/>
    </xf>
    <xf numFmtId="49" fontId="20" fillId="0" borderId="81" xfId="0" applyNumberFormat="1" applyFont="1" applyFill="1" applyBorder="1" applyAlignment="1">
      <alignment horizontal="left" vertical="center" wrapText="1"/>
    </xf>
    <xf numFmtId="49" fontId="20" fillId="0" borderId="75" xfId="0" applyNumberFormat="1" applyFont="1" applyFill="1" applyBorder="1" applyAlignment="1">
      <alignment horizontal="left" vertical="center" wrapText="1"/>
    </xf>
    <xf numFmtId="49" fontId="9" fillId="0" borderId="76" xfId="0" applyNumberFormat="1" applyFont="1" applyBorder="1" applyAlignment="1">
      <alignment horizontal="left" vertical="center" wrapText="1"/>
    </xf>
    <xf numFmtId="49" fontId="9" fillId="0" borderId="77" xfId="0" applyNumberFormat="1" applyFont="1" applyBorder="1" applyAlignment="1">
      <alignment horizontal="left" vertical="center" wrapText="1"/>
    </xf>
    <xf numFmtId="49" fontId="20" fillId="0" borderId="67" xfId="0" applyNumberFormat="1" applyFont="1" applyFill="1" applyBorder="1" applyAlignment="1">
      <alignment horizontal="left" vertical="center" wrapText="1"/>
    </xf>
    <xf numFmtId="0" fontId="36" fillId="34" borderId="39" xfId="0" applyFont="1" applyFill="1" applyBorder="1" applyAlignment="1">
      <alignment horizontal="center" vertical="center" wrapText="1"/>
    </xf>
    <xf numFmtId="0" fontId="37" fillId="34" borderId="39" xfId="0" applyFont="1" applyFill="1" applyBorder="1" applyAlignment="1">
      <alignment horizontal="center" vertical="center" wrapText="1"/>
    </xf>
    <xf numFmtId="49" fontId="3" fillId="0" borderId="67" xfId="0" applyNumberFormat="1" applyFont="1" applyFill="1" applyBorder="1" applyAlignment="1">
      <alignment horizontal="left" vertical="center" wrapText="1"/>
    </xf>
    <xf numFmtId="49" fontId="3" fillId="0" borderId="68" xfId="0" applyNumberFormat="1" applyFont="1" applyFill="1" applyBorder="1" applyAlignment="1">
      <alignment vertical="center" wrapText="1"/>
    </xf>
    <xf numFmtId="49" fontId="3" fillId="0" borderId="69" xfId="0" applyNumberFormat="1" applyFont="1" applyFill="1" applyBorder="1" applyAlignment="1">
      <alignment vertical="center" wrapText="1"/>
    </xf>
    <xf numFmtId="49" fontId="3" fillId="0" borderId="75" xfId="0" applyNumberFormat="1" applyFont="1" applyFill="1" applyBorder="1" applyAlignment="1">
      <alignment horizontal="left" vertical="center" wrapText="1"/>
    </xf>
    <xf numFmtId="49" fontId="3" fillId="0" borderId="76" xfId="0" applyNumberFormat="1" applyFont="1" applyFill="1" applyBorder="1" applyAlignment="1">
      <alignment vertical="center" wrapText="1"/>
    </xf>
    <xf numFmtId="49" fontId="3" fillId="0" borderId="77" xfId="0" applyNumberFormat="1" applyFont="1" applyFill="1" applyBorder="1" applyAlignment="1">
      <alignment vertical="center" wrapText="1"/>
    </xf>
    <xf numFmtId="49" fontId="2" fillId="0" borderId="67" xfId="0" applyNumberFormat="1" applyFont="1" applyFill="1" applyBorder="1" applyAlignment="1">
      <alignment horizontal="left" vertical="center" wrapText="1"/>
    </xf>
    <xf numFmtId="49" fontId="3" fillId="0" borderId="68" xfId="0" applyNumberFormat="1" applyFont="1" applyBorder="1" applyAlignment="1">
      <alignment vertical="center" wrapText="1"/>
    </xf>
    <xf numFmtId="49" fontId="3" fillId="0" borderId="69" xfId="0" applyNumberFormat="1" applyFont="1" applyBorder="1" applyAlignment="1">
      <alignment vertical="center" wrapText="1"/>
    </xf>
    <xf numFmtId="49" fontId="2" fillId="0" borderId="81" xfId="0" applyNumberFormat="1" applyFont="1" applyFill="1" applyBorder="1" applyAlignment="1">
      <alignment horizontal="left" vertical="center" wrapText="1"/>
    </xf>
    <xf numFmtId="49" fontId="3" fillId="0" borderId="82" xfId="0" applyNumberFormat="1" applyFont="1" applyFill="1" applyBorder="1" applyAlignment="1">
      <alignment vertical="center" wrapText="1"/>
    </xf>
    <xf numFmtId="49" fontId="3" fillId="0" borderId="83" xfId="0" applyNumberFormat="1" applyFont="1" applyFill="1" applyBorder="1" applyAlignment="1">
      <alignment vertical="center" wrapText="1"/>
    </xf>
    <xf numFmtId="49" fontId="3" fillId="0" borderId="81" xfId="0" applyNumberFormat="1" applyFont="1" applyFill="1" applyBorder="1" applyAlignment="1">
      <alignment horizontal="left" vertical="center" wrapText="1"/>
    </xf>
    <xf numFmtId="49" fontId="2" fillId="0" borderId="75" xfId="0" applyNumberFormat="1" applyFont="1" applyBorder="1" applyAlignment="1">
      <alignment horizontal="left" vertical="center" wrapText="1"/>
    </xf>
    <xf numFmtId="49" fontId="3" fillId="0" borderId="76" xfId="0" applyNumberFormat="1" applyFont="1" applyBorder="1" applyAlignment="1">
      <alignment vertical="center" wrapText="1"/>
    </xf>
    <xf numFmtId="49" fontId="3" fillId="0" borderId="77" xfId="0" applyNumberFormat="1" applyFont="1" applyBorder="1" applyAlignment="1">
      <alignment vertical="center" wrapText="1"/>
    </xf>
    <xf numFmtId="49" fontId="3" fillId="0" borderId="68" xfId="0" applyNumberFormat="1" applyFont="1" applyFill="1" applyBorder="1" applyAlignment="1">
      <alignment horizontal="left" vertical="center" wrapText="1"/>
    </xf>
    <xf numFmtId="49" fontId="3" fillId="0" borderId="69" xfId="0" applyNumberFormat="1" applyFont="1" applyFill="1" applyBorder="1" applyAlignment="1">
      <alignment horizontal="left" vertical="center" wrapText="1"/>
    </xf>
    <xf numFmtId="49" fontId="2" fillId="0" borderId="81" xfId="0" applyNumberFormat="1" applyFont="1" applyBorder="1" applyAlignment="1">
      <alignment horizontal="left" vertical="center" wrapText="1"/>
    </xf>
    <xf numFmtId="49" fontId="3" fillId="0" borderId="82" xfId="0" applyNumberFormat="1" applyFont="1" applyBorder="1" applyAlignment="1">
      <alignment horizontal="left" vertical="center" wrapText="1"/>
    </xf>
    <xf numFmtId="49" fontId="3" fillId="0" borderId="83" xfId="0" applyNumberFormat="1" applyFont="1" applyBorder="1" applyAlignment="1">
      <alignment horizontal="left" vertical="center" wrapText="1"/>
    </xf>
    <xf numFmtId="0" fontId="17" fillId="0" borderId="0" xfId="0"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72" xfId="0" applyBorder="1" applyAlignment="1">
      <alignment horizontal="center" wrapText="1"/>
    </xf>
    <xf numFmtId="0" fontId="14" fillId="0" borderId="0" xfId="0" applyFont="1" applyFill="1" applyBorder="1" applyAlignment="1">
      <alignment horizontal="center" vertical="top" wrapText="1"/>
    </xf>
    <xf numFmtId="0" fontId="13" fillId="0" borderId="0" xfId="0" applyFont="1" applyBorder="1" applyAlignment="1">
      <alignment horizontal="center" vertical="top" wrapText="1"/>
    </xf>
    <xf numFmtId="0" fontId="52" fillId="37" borderId="45" xfId="0" applyFont="1" applyFill="1" applyBorder="1" applyAlignment="1">
      <alignment horizontal="left" vertical="center" wrapText="1"/>
    </xf>
    <xf numFmtId="0" fontId="52" fillId="37" borderId="47" xfId="0" applyFont="1" applyFill="1" applyBorder="1" applyAlignment="1">
      <alignment horizontal="left" vertical="center" wrapText="1"/>
    </xf>
    <xf numFmtId="0" fontId="15" fillId="33" borderId="71" xfId="0" applyFont="1" applyFill="1" applyBorder="1" applyAlignment="1">
      <alignment horizontal="center" vertical="center" wrapText="1"/>
    </xf>
    <xf numFmtId="0" fontId="35" fillId="34" borderId="41" xfId="0" applyFont="1" applyFill="1" applyBorder="1" applyAlignment="1">
      <alignment horizontal="center" vertical="center" wrapText="1"/>
    </xf>
    <xf numFmtId="0" fontId="37" fillId="34" borderId="41" xfId="0" applyFont="1" applyFill="1" applyBorder="1" applyAlignment="1">
      <alignment horizontal="center" vertical="center"/>
    </xf>
    <xf numFmtId="0" fontId="2" fillId="0" borderId="81" xfId="0" applyFont="1" applyFill="1" applyBorder="1" applyAlignment="1">
      <alignment horizontal="left" vertical="center" wrapText="1"/>
    </xf>
    <xf numFmtId="0" fontId="3" fillId="0" borderId="82" xfId="0" applyFont="1" applyFill="1" applyBorder="1" applyAlignment="1">
      <alignment horizontal="left" vertical="center" wrapText="1"/>
    </xf>
    <xf numFmtId="0" fontId="3" fillId="0" borderId="83"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3" fillId="0" borderId="68" xfId="0" applyFont="1" applyFill="1" applyBorder="1" applyAlignment="1">
      <alignment horizontal="left" vertical="center" wrapText="1"/>
    </xf>
    <xf numFmtId="0" fontId="3" fillId="0" borderId="69" xfId="0" applyFont="1" applyFill="1" applyBorder="1" applyAlignment="1">
      <alignment horizontal="lef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2" fillId="0" borderId="67" xfId="0" applyFont="1" applyBorder="1" applyAlignment="1">
      <alignment horizontal="left" vertical="center" wrapText="1"/>
    </xf>
    <xf numFmtId="0" fontId="12" fillId="49" borderId="14" xfId="0" applyFont="1" applyFill="1" applyBorder="1" applyAlignment="1">
      <alignment horizontal="left" vertical="center" wrapText="1"/>
    </xf>
    <xf numFmtId="0" fontId="12" fillId="49" borderId="57" xfId="0" applyFont="1" applyFill="1" applyBorder="1" applyAlignment="1">
      <alignment horizontal="left" vertical="center" wrapText="1"/>
    </xf>
    <xf numFmtId="0" fontId="52" fillId="49" borderId="57" xfId="0" applyFont="1" applyFill="1" applyBorder="1" applyAlignment="1">
      <alignment vertical="center" wrapText="1"/>
    </xf>
    <xf numFmtId="0" fontId="52" fillId="49" borderId="22" xfId="0" applyFont="1" applyFill="1" applyBorder="1" applyAlignment="1">
      <alignment vertical="center" wrapText="1"/>
    </xf>
    <xf numFmtId="0" fontId="52" fillId="49" borderId="58" xfId="0" applyFont="1" applyFill="1" applyBorder="1" applyAlignment="1">
      <alignment vertical="center" wrapText="1"/>
    </xf>
    <xf numFmtId="0" fontId="2" fillId="0" borderId="75" xfId="0" applyFont="1" applyFill="1" applyBorder="1" applyAlignment="1">
      <alignment horizontal="left" vertical="center" wrapText="1"/>
    </xf>
    <xf numFmtId="0" fontId="3" fillId="0" borderId="76"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2" fillId="0" borderId="78"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68" xfId="0" applyFont="1" applyBorder="1" applyAlignment="1">
      <alignment wrapText="1"/>
    </xf>
    <xf numFmtId="0" fontId="3" fillId="0" borderId="69" xfId="0" applyFont="1" applyBorder="1" applyAlignment="1">
      <alignment wrapText="1"/>
    </xf>
    <xf numFmtId="0" fontId="3" fillId="0" borderId="84" xfId="0" applyFont="1" applyBorder="1" applyAlignment="1">
      <alignment horizontal="left" vertical="center" wrapText="1"/>
    </xf>
    <xf numFmtId="0" fontId="3" fillId="0" borderId="85" xfId="0" applyFont="1" applyBorder="1" applyAlignment="1">
      <alignment horizontal="left" vertical="center" wrapText="1"/>
    </xf>
    <xf numFmtId="0" fontId="3" fillId="0" borderId="86" xfId="0" applyFont="1" applyBorder="1" applyAlignment="1">
      <alignment horizontal="left" vertical="center" wrapText="1"/>
    </xf>
    <xf numFmtId="0" fontId="2" fillId="0" borderId="75" xfId="0" applyFont="1" applyBorder="1" applyAlignment="1">
      <alignment horizontal="left" vertical="center" wrapText="1"/>
    </xf>
    <xf numFmtId="0" fontId="3" fillId="0" borderId="76" xfId="0" applyFont="1" applyBorder="1" applyAlignment="1">
      <alignment wrapText="1"/>
    </xf>
    <xf numFmtId="0" fontId="3" fillId="0" borderId="77" xfId="0" applyFont="1" applyBorder="1" applyAlignment="1">
      <alignment wrapText="1"/>
    </xf>
    <xf numFmtId="0" fontId="16" fillId="39" borderId="14" xfId="0" applyFont="1" applyFill="1" applyBorder="1" applyAlignment="1" applyProtection="1">
      <alignment vertical="center" wrapText="1"/>
      <protection hidden="1"/>
    </xf>
    <xf numFmtId="0" fontId="16" fillId="39" borderId="57" xfId="0" applyFont="1" applyFill="1" applyBorder="1" applyAlignment="1" applyProtection="1">
      <alignment vertical="center" wrapText="1"/>
      <protection hidden="1"/>
    </xf>
    <xf numFmtId="0" fontId="16" fillId="39" borderId="58" xfId="0" applyFont="1" applyFill="1" applyBorder="1" applyAlignment="1" applyProtection="1">
      <alignment vertical="center" wrapText="1"/>
      <protection hidden="1"/>
    </xf>
    <xf numFmtId="0" fontId="13" fillId="49" borderId="57" xfId="0" applyFont="1" applyFill="1" applyBorder="1" applyAlignment="1">
      <alignment vertical="center" wrapText="1"/>
    </xf>
    <xf numFmtId="0" fontId="13" fillId="49" borderId="58" xfId="0" applyFont="1" applyFill="1" applyBorder="1" applyAlignment="1">
      <alignment vertical="center" wrapText="1"/>
    </xf>
    <xf numFmtId="0" fontId="3" fillId="0" borderId="76" xfId="0" applyFont="1" applyBorder="1" applyAlignment="1">
      <alignment horizontal="left" vertical="center" wrapText="1"/>
    </xf>
    <xf numFmtId="0" fontId="3" fillId="0" borderId="77" xfId="0" applyFont="1" applyBorder="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3" fillId="0" borderId="80" xfId="0" applyFont="1" applyBorder="1" applyAlignment="1">
      <alignment horizontal="left" vertical="center" wrapText="1"/>
    </xf>
    <xf numFmtId="0" fontId="13" fillId="49" borderId="22" xfId="0" applyFont="1" applyFill="1" applyBorder="1" applyAlignment="1">
      <alignment vertical="center" wrapText="1"/>
    </xf>
    <xf numFmtId="0" fontId="11" fillId="0" borderId="67" xfId="0" applyFont="1" applyFill="1" applyBorder="1" applyAlignment="1">
      <alignment horizontal="left" vertical="center" wrapText="1"/>
    </xf>
    <xf numFmtId="0" fontId="11" fillId="0" borderId="68" xfId="0" applyFont="1" applyBorder="1" applyAlignment="1">
      <alignment horizontal="left" vertical="center" wrapText="1"/>
    </xf>
    <xf numFmtId="0" fontId="11" fillId="0" borderId="81" xfId="0" applyFont="1" applyFill="1" applyBorder="1" applyAlignment="1">
      <alignment horizontal="left" vertical="center" wrapText="1"/>
    </xf>
    <xf numFmtId="0" fontId="11" fillId="0" borderId="82" xfId="0" applyFont="1" applyBorder="1" applyAlignment="1">
      <alignment horizontal="left" vertical="center" wrapText="1"/>
    </xf>
    <xf numFmtId="49" fontId="35" fillId="34" borderId="87" xfId="0" applyNumberFormat="1" applyFont="1" applyFill="1" applyBorder="1" applyAlignment="1">
      <alignment horizontal="center" vertical="center" wrapText="1"/>
    </xf>
    <xf numFmtId="49" fontId="35" fillId="34" borderId="88" xfId="0" applyNumberFormat="1" applyFont="1" applyFill="1" applyBorder="1" applyAlignment="1">
      <alignment horizontal="center" vertical="center" wrapText="1"/>
    </xf>
    <xf numFmtId="49" fontId="35" fillId="34" borderId="89" xfId="0" applyNumberFormat="1" applyFont="1" applyFill="1" applyBorder="1" applyAlignment="1">
      <alignment horizontal="center" vertical="center" wrapText="1"/>
    </xf>
    <xf numFmtId="0" fontId="36" fillId="34" borderId="44" xfId="0" applyFont="1" applyFill="1" applyBorder="1" applyAlignment="1">
      <alignment horizontal="center" vertical="center" wrapText="1"/>
    </xf>
    <xf numFmtId="0" fontId="36" fillId="34" borderId="45" xfId="0" applyFont="1" applyFill="1" applyBorder="1" applyAlignment="1">
      <alignment horizontal="center" vertical="center" wrapText="1"/>
    </xf>
    <xf numFmtId="0" fontId="36" fillId="34" borderId="47" xfId="0" applyFont="1" applyFill="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1" fillId="0" borderId="67" xfId="0" applyFont="1" applyFill="1" applyBorder="1" applyAlignment="1">
      <alignment horizontal="left" vertical="center" wrapText="1"/>
    </xf>
    <xf numFmtId="0" fontId="1" fillId="0" borderId="68" xfId="0" applyFont="1" applyBorder="1" applyAlignment="1">
      <alignment horizontal="left" vertical="center" wrapText="1"/>
    </xf>
    <xf numFmtId="0" fontId="47" fillId="0" borderId="45" xfId="0" applyFont="1" applyFill="1" applyBorder="1" applyAlignment="1">
      <alignment horizontal="left" vertical="center" wrapText="1"/>
    </xf>
    <xf numFmtId="0" fontId="1" fillId="0" borderId="45" xfId="0" applyFont="1" applyBorder="1" applyAlignment="1">
      <alignment vertical="center" wrapText="1"/>
    </xf>
    <xf numFmtId="0" fontId="36" fillId="34" borderId="93" xfId="0" applyFont="1" applyFill="1" applyBorder="1" applyAlignment="1">
      <alignment horizontal="center" vertical="center" wrapText="1"/>
    </xf>
    <xf numFmtId="0" fontId="0" fillId="0" borderId="94" xfId="0" applyBorder="1" applyAlignment="1">
      <alignment horizontal="center" vertical="center" wrapText="1"/>
    </xf>
    <xf numFmtId="0" fontId="36" fillId="34" borderId="93" xfId="0" applyFont="1" applyFill="1" applyBorder="1" applyAlignment="1" applyProtection="1">
      <alignment horizontal="center" vertical="center" wrapText="1"/>
      <protection hidden="1"/>
    </xf>
    <xf numFmtId="0" fontId="17" fillId="0" borderId="0" xfId="0" applyFont="1" applyFill="1" applyBorder="1" applyAlignment="1">
      <alignment horizontal="center" wrapText="1"/>
    </xf>
    <xf numFmtId="0" fontId="13" fillId="0" borderId="0" xfId="0" applyFont="1" applyBorder="1" applyAlignment="1">
      <alignment horizontal="center" wrapText="1"/>
    </xf>
    <xf numFmtId="0" fontId="35" fillId="34" borderId="93" xfId="0" applyFont="1" applyFill="1" applyBorder="1" applyAlignment="1">
      <alignment horizontal="center" vertical="center" wrapText="1"/>
    </xf>
    <xf numFmtId="0" fontId="35" fillId="34" borderId="94" xfId="0" applyFont="1" applyFill="1" applyBorder="1" applyAlignment="1">
      <alignment horizontal="center" vertical="center" wrapText="1"/>
    </xf>
    <xf numFmtId="0" fontId="35" fillId="34" borderId="24" xfId="0" applyFont="1" applyFill="1" applyBorder="1" applyAlignment="1">
      <alignment horizontal="center" vertical="center" wrapText="1"/>
    </xf>
    <xf numFmtId="0" fontId="0" fillId="0" borderId="24" xfId="0" applyBorder="1" applyAlignment="1">
      <alignment horizontal="center" vertical="center" wrapText="1"/>
    </xf>
    <xf numFmtId="0" fontId="11" fillId="0" borderId="75" xfId="0" applyFont="1" applyFill="1" applyBorder="1" applyAlignment="1">
      <alignment horizontal="left" vertical="center" wrapText="1"/>
    </xf>
    <xf numFmtId="0" fontId="11" fillId="0" borderId="76" xfId="0" applyFont="1" applyBorder="1" applyAlignment="1">
      <alignment horizontal="left" vertical="center" wrapText="1"/>
    </xf>
    <xf numFmtId="0" fontId="35" fillId="34" borderId="95" xfId="0" applyFont="1" applyFill="1" applyBorder="1" applyAlignment="1">
      <alignment horizontal="center" vertical="center"/>
    </xf>
    <xf numFmtId="0" fontId="35" fillId="34" borderId="96" xfId="0" applyFont="1" applyFill="1" applyBorder="1" applyAlignment="1">
      <alignment horizontal="center" vertical="center"/>
    </xf>
    <xf numFmtId="0" fontId="35" fillId="34" borderId="97" xfId="0" applyFont="1" applyFill="1" applyBorder="1" applyAlignment="1">
      <alignment horizontal="center" vertical="center"/>
    </xf>
    <xf numFmtId="0" fontId="37" fillId="34" borderId="98" xfId="0" applyFont="1" applyFill="1" applyBorder="1" applyAlignment="1">
      <alignment/>
    </xf>
    <xf numFmtId="0" fontId="10" fillId="37" borderId="14" xfId="0" applyFont="1" applyFill="1" applyBorder="1" applyAlignment="1" applyProtection="1">
      <alignment horizontal="left" vertical="center" wrapText="1"/>
      <protection hidden="1"/>
    </xf>
    <xf numFmtId="0" fontId="10" fillId="37" borderId="57" xfId="0" applyFont="1" applyFill="1" applyBorder="1" applyAlignment="1" applyProtection="1">
      <alignment horizontal="left" vertical="center" wrapText="1"/>
      <protection hidden="1"/>
    </xf>
    <xf numFmtId="0" fontId="10" fillId="37" borderId="58" xfId="0" applyFont="1" applyFill="1" applyBorder="1" applyAlignment="1" applyProtection="1">
      <alignment horizontal="left" vertical="center" wrapText="1"/>
      <protection hidden="1"/>
    </xf>
    <xf numFmtId="0" fontId="35" fillId="34" borderId="39" xfId="0" applyFont="1" applyFill="1" applyBorder="1" applyAlignment="1">
      <alignment horizontal="center" vertical="center"/>
    </xf>
    <xf numFmtId="0" fontId="37" fillId="34" borderId="39" xfId="0" applyFont="1" applyFill="1" applyBorder="1" applyAlignment="1">
      <alignment horizontal="center" vertical="center"/>
    </xf>
    <xf numFmtId="0" fontId="14" fillId="0" borderId="16" xfId="0" applyFont="1" applyFill="1" applyBorder="1" applyAlignment="1">
      <alignment horizontal="center" vertical="top" wrapText="1"/>
    </xf>
    <xf numFmtId="0" fontId="13" fillId="0" borderId="22" xfId="0" applyFont="1" applyBorder="1" applyAlignment="1">
      <alignment horizontal="center" vertical="top" wrapText="1"/>
    </xf>
    <xf numFmtId="0" fontId="0" fillId="0" borderId="22" xfId="0" applyBorder="1" applyAlignment="1">
      <alignment horizontal="center" wrapText="1"/>
    </xf>
    <xf numFmtId="0" fontId="0" fillId="0" borderId="22" xfId="0" applyBorder="1" applyAlignment="1">
      <alignment wrapText="1"/>
    </xf>
    <xf numFmtId="0" fontId="0" fillId="0" borderId="23" xfId="0" applyBorder="1" applyAlignment="1">
      <alignment wrapText="1"/>
    </xf>
    <xf numFmtId="0" fontId="36" fillId="34" borderId="39" xfId="0" applyFont="1" applyFill="1" applyBorder="1" applyAlignment="1">
      <alignment horizontal="center" vertical="center"/>
    </xf>
    <xf numFmtId="0" fontId="36" fillId="34" borderId="39" xfId="0" applyFont="1" applyFill="1" applyBorder="1" applyAlignment="1">
      <alignment horizontal="center" vertical="center" shrinkToFit="1"/>
    </xf>
    <xf numFmtId="0" fontId="0" fillId="0" borderId="99" xfId="0" applyBorder="1" applyAlignment="1" applyProtection="1">
      <alignment vertical="center"/>
      <protection locked="0"/>
    </xf>
    <xf numFmtId="0" fontId="0" fillId="0" borderId="100" xfId="0" applyBorder="1" applyAlignment="1" applyProtection="1">
      <alignment/>
      <protection locked="0"/>
    </xf>
    <xf numFmtId="0" fontId="0" fillId="0" borderId="99" xfId="0" applyBorder="1" applyAlignment="1" applyProtection="1">
      <alignment/>
      <protection locked="0"/>
    </xf>
    <xf numFmtId="0" fontId="0" fillId="0" borderId="101" xfId="0" applyBorder="1" applyAlignment="1" applyProtection="1">
      <alignment/>
      <protection locked="0"/>
    </xf>
    <xf numFmtId="0" fontId="0" fillId="0" borderId="102" xfId="0" applyBorder="1" applyAlignment="1" applyProtection="1">
      <alignment/>
      <protection locked="0"/>
    </xf>
    <xf numFmtId="0" fontId="0" fillId="0" borderId="102" xfId="0" applyBorder="1" applyAlignment="1" applyProtection="1">
      <alignment vertical="center"/>
      <protection locked="0"/>
    </xf>
    <xf numFmtId="0" fontId="17" fillId="0" borderId="44" xfId="0" applyFont="1" applyFill="1" applyBorder="1" applyAlignment="1">
      <alignment horizontal="center" vertical="center" wrapText="1"/>
    </xf>
    <xf numFmtId="0" fontId="13" fillId="0" borderId="45" xfId="0" applyFont="1" applyBorder="1" applyAlignment="1">
      <alignment horizontal="center" vertical="center" wrapText="1"/>
    </xf>
    <xf numFmtId="0" fontId="0" fillId="0" borderId="45" xfId="0" applyBorder="1" applyAlignment="1">
      <alignment horizontal="center" wrapText="1"/>
    </xf>
    <xf numFmtId="0" fontId="0" fillId="0" borderId="47" xfId="0" applyBorder="1" applyAlignment="1">
      <alignment horizontal="center" wrapText="1"/>
    </xf>
    <xf numFmtId="0" fontId="16" fillId="39" borderId="16" xfId="0" applyFont="1" applyFill="1" applyBorder="1" applyAlignment="1" applyProtection="1">
      <alignment vertical="center" wrapText="1"/>
      <protection hidden="1"/>
    </xf>
    <xf numFmtId="0" fontId="16" fillId="39" borderId="22" xfId="0" applyFont="1" applyFill="1" applyBorder="1" applyAlignment="1" applyProtection="1">
      <alignment vertical="center" wrapText="1"/>
      <protection hidden="1"/>
    </xf>
    <xf numFmtId="0" fontId="16" fillId="39" borderId="23" xfId="0" applyFont="1" applyFill="1" applyBorder="1" applyAlignment="1" applyProtection="1">
      <alignment vertical="center" wrapText="1"/>
      <protection hidden="1"/>
    </xf>
    <xf numFmtId="0" fontId="22" fillId="48" borderId="103" xfId="0" applyFont="1" applyFill="1" applyBorder="1" applyAlignment="1" applyProtection="1">
      <alignment horizontal="center" vertical="center" wrapText="1"/>
      <protection hidden="1"/>
    </xf>
    <xf numFmtId="0" fontId="42" fillId="0" borderId="24" xfId="0" applyFont="1" applyFill="1" applyBorder="1" applyAlignment="1" applyProtection="1">
      <alignment horizontal="left" vertical="center" wrapText="1"/>
      <protection hidden="1"/>
    </xf>
    <xf numFmtId="0" fontId="42" fillId="0" borderId="57" xfId="0" applyFont="1" applyFill="1" applyBorder="1" applyAlignment="1" applyProtection="1">
      <alignment horizontal="left" vertical="center" wrapText="1"/>
      <protection hidden="1"/>
    </xf>
    <xf numFmtId="0" fontId="42" fillId="0" borderId="58" xfId="0" applyFont="1" applyFill="1" applyBorder="1" applyAlignment="1" applyProtection="1">
      <alignment horizontal="left" vertical="center" wrapText="1"/>
      <protection hidden="1"/>
    </xf>
    <xf numFmtId="0" fontId="31" fillId="34" borderId="14" xfId="0" applyFont="1" applyFill="1" applyBorder="1" applyAlignment="1" applyProtection="1">
      <alignment vertical="center" wrapText="1"/>
      <protection hidden="1"/>
    </xf>
    <xf numFmtId="0" fontId="31" fillId="34" borderId="57" xfId="0" applyFont="1" applyFill="1" applyBorder="1" applyAlignment="1" applyProtection="1">
      <alignment vertical="center" wrapText="1"/>
      <protection hidden="1"/>
    </xf>
    <xf numFmtId="0" fontId="31" fillId="34" borderId="58" xfId="0" applyFont="1" applyFill="1" applyBorder="1" applyAlignment="1" applyProtection="1">
      <alignment vertical="center" wrapText="1"/>
      <protection hidden="1"/>
    </xf>
    <xf numFmtId="0" fontId="10" fillId="0" borderId="24" xfId="0" applyFont="1" applyFill="1" applyBorder="1" applyAlignment="1" applyProtection="1">
      <alignment horizontal="left" vertical="center" wrapText="1"/>
      <protection hidden="1"/>
    </xf>
    <xf numFmtId="0" fontId="10" fillId="0" borderId="57" xfId="0" applyFont="1" applyFill="1" applyBorder="1" applyAlignment="1" applyProtection="1">
      <alignment horizontal="left" vertical="center" wrapText="1"/>
      <protection hidden="1"/>
    </xf>
    <xf numFmtId="0" fontId="10" fillId="0" borderId="58" xfId="0" applyFont="1" applyFill="1" applyBorder="1" applyAlignment="1" applyProtection="1">
      <alignment horizontal="left" vertical="center" wrapText="1"/>
      <protection hidden="1"/>
    </xf>
    <xf numFmtId="0" fontId="10" fillId="0" borderId="10" xfId="0" applyFont="1" applyFill="1" applyBorder="1" applyAlignment="1" applyProtection="1">
      <alignment horizontal="left" vertical="center" wrapText="1"/>
      <protection hidden="1"/>
    </xf>
    <xf numFmtId="0" fontId="42" fillId="0" borderId="10" xfId="0" applyFont="1" applyFill="1" applyBorder="1" applyAlignment="1" applyProtection="1">
      <alignment horizontal="left" vertical="center" wrapText="1"/>
      <protection hidden="1"/>
    </xf>
    <xf numFmtId="0" fontId="16" fillId="50" borderId="14" xfId="0" applyFont="1" applyFill="1" applyBorder="1" applyAlignment="1" applyProtection="1">
      <alignment horizontal="left" vertical="center" wrapText="1"/>
      <protection hidden="1"/>
    </xf>
    <xf numFmtId="0" fontId="16" fillId="50" borderId="57" xfId="0" applyFont="1" applyFill="1" applyBorder="1" applyAlignment="1" applyProtection="1">
      <alignment horizontal="left" vertical="center" wrapText="1"/>
      <protection hidden="1"/>
    </xf>
    <xf numFmtId="0" fontId="11" fillId="50" borderId="57" xfId="0" applyFont="1" applyFill="1" applyBorder="1" applyAlignment="1" applyProtection="1">
      <alignment horizontal="left" vertical="center" wrapText="1"/>
      <protection hidden="1"/>
    </xf>
    <xf numFmtId="0" fontId="11" fillId="50" borderId="58" xfId="0" applyFont="1" applyFill="1" applyBorder="1" applyAlignment="1" applyProtection="1">
      <alignment horizontal="left" vertical="center" wrapText="1"/>
      <protection hidden="1"/>
    </xf>
    <xf numFmtId="0" fontId="39" fillId="0" borderId="104" xfId="0" applyFont="1" applyBorder="1" applyAlignment="1">
      <alignment vertical="center" wrapText="1"/>
    </xf>
    <xf numFmtId="0" fontId="39" fillId="0" borderId="76" xfId="0" applyFont="1" applyBorder="1" applyAlignment="1">
      <alignment vertical="center" wrapText="1"/>
    </xf>
    <xf numFmtId="0" fontId="39" fillId="0" borderId="77" xfId="0" applyFont="1" applyBorder="1" applyAlignment="1">
      <alignment vertical="center" wrapText="1"/>
    </xf>
    <xf numFmtId="0" fontId="39" fillId="0" borderId="105" xfId="0" applyFont="1" applyBorder="1" applyAlignment="1">
      <alignment vertical="center" wrapText="1"/>
    </xf>
    <xf numFmtId="0" fontId="39" fillId="0" borderId="68" xfId="0" applyFont="1" applyBorder="1" applyAlignment="1">
      <alignment vertical="center" wrapText="1"/>
    </xf>
    <xf numFmtId="0" fontId="39" fillId="0" borderId="69" xfId="0" applyFont="1" applyBorder="1" applyAlignment="1">
      <alignment vertical="center" wrapText="1"/>
    </xf>
    <xf numFmtId="0" fontId="36" fillId="35" borderId="106" xfId="0" applyFont="1" applyFill="1" applyBorder="1" applyAlignment="1" applyProtection="1">
      <alignment horizontal="center" vertical="center" wrapText="1"/>
      <protection hidden="1"/>
    </xf>
    <xf numFmtId="0" fontId="36" fillId="35" borderId="106" xfId="0" applyFont="1" applyFill="1" applyBorder="1" applyAlignment="1">
      <alignment horizontal="center" vertical="center" wrapText="1"/>
    </xf>
    <xf numFmtId="0" fontId="36" fillId="35" borderId="30" xfId="0" applyFont="1" applyFill="1" applyBorder="1" applyAlignment="1">
      <alignment horizontal="center" vertical="center" wrapText="1"/>
    </xf>
    <xf numFmtId="0" fontId="39" fillId="0" borderId="107" xfId="0" applyFont="1" applyBorder="1" applyAlignment="1">
      <alignment vertical="center" wrapText="1"/>
    </xf>
    <xf numFmtId="0" fontId="39" fillId="0" borderId="82" xfId="0" applyFont="1" applyBorder="1" applyAlignment="1">
      <alignment vertical="center" wrapText="1"/>
    </xf>
    <xf numFmtId="0" fontId="39" fillId="0" borderId="83" xfId="0" applyFont="1" applyBorder="1" applyAlignment="1">
      <alignment vertical="center" wrapText="1"/>
    </xf>
    <xf numFmtId="0" fontId="39" fillId="0" borderId="108" xfId="59" applyFont="1" applyBorder="1" applyAlignment="1">
      <alignment horizontal="left" vertical="center"/>
      <protection/>
    </xf>
    <xf numFmtId="0" fontId="39" fillId="0" borderId="28" xfId="59" applyFont="1" applyBorder="1" applyAlignment="1">
      <alignment horizontal="left" vertical="center"/>
      <protection/>
    </xf>
    <xf numFmtId="0" fontId="39" fillId="0" borderId="109" xfId="59" applyFont="1" applyBorder="1" applyAlignment="1">
      <alignment horizontal="left" vertical="center"/>
      <protection/>
    </xf>
    <xf numFmtId="0" fontId="39" fillId="0" borderId="27" xfId="59" applyFont="1" applyBorder="1" applyAlignment="1">
      <alignment horizontal="left" vertical="center"/>
      <protection/>
    </xf>
    <xf numFmtId="0" fontId="38" fillId="0" borderId="105" xfId="59" applyFont="1" applyBorder="1" applyAlignment="1">
      <alignment horizontal="left" vertical="center"/>
      <protection/>
    </xf>
    <xf numFmtId="0" fontId="38" fillId="0" borderId="69" xfId="59" applyFont="1" applyBorder="1" applyAlignment="1">
      <alignment horizontal="left" vertical="center"/>
      <protection/>
    </xf>
    <xf numFmtId="0" fontId="10" fillId="0" borderId="14" xfId="0" applyFont="1" applyFill="1" applyBorder="1" applyAlignment="1" applyProtection="1">
      <alignment horizontal="left" vertical="center" wrapText="1"/>
      <protection hidden="1"/>
    </xf>
    <xf numFmtId="0" fontId="0" fillId="0" borderId="57" xfId="0" applyBorder="1" applyAlignment="1">
      <alignment horizontal="left" vertical="center" wrapText="1"/>
    </xf>
    <xf numFmtId="0" fontId="31" fillId="34" borderId="110" xfId="59" applyFont="1" applyFill="1" applyBorder="1" applyAlignment="1">
      <alignment horizontal="center" vertical="center" wrapText="1"/>
      <protection/>
    </xf>
    <xf numFmtId="0" fontId="37" fillId="34" borderId="58" xfId="0" applyFont="1" applyFill="1" applyBorder="1" applyAlignment="1">
      <alignment horizontal="center" vertical="center" wrapText="1"/>
    </xf>
    <xf numFmtId="0" fontId="38" fillId="0" borderId="104" xfId="59" applyFont="1" applyBorder="1" applyAlignment="1">
      <alignment horizontal="left" vertical="center"/>
      <protection/>
    </xf>
    <xf numFmtId="0" fontId="38" fillId="0" borderId="77" xfId="59" applyFont="1" applyBorder="1" applyAlignment="1">
      <alignment horizontal="left" vertical="center"/>
      <protection/>
    </xf>
    <xf numFmtId="0" fontId="0" fillId="0" borderId="14" xfId="0" applyBorder="1" applyAlignment="1">
      <alignment vertical="center" wrapText="1"/>
    </xf>
    <xf numFmtId="0" fontId="0" fillId="0" borderId="57" xfId="0" applyBorder="1" applyAlignment="1">
      <alignment vertical="center" wrapText="1"/>
    </xf>
    <xf numFmtId="0" fontId="0" fillId="0" borderId="58" xfId="0" applyBorder="1" applyAlignment="1">
      <alignment vertical="center" wrapText="1"/>
    </xf>
    <xf numFmtId="0" fontId="0" fillId="0" borderId="14"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11" fillId="0" borderId="14" xfId="0" applyFont="1" applyBorder="1" applyAlignment="1">
      <alignment vertical="center" wrapText="1"/>
    </xf>
    <xf numFmtId="0" fontId="11" fillId="0" borderId="57" xfId="0" applyFont="1" applyBorder="1" applyAlignment="1">
      <alignment vertical="center" wrapText="1"/>
    </xf>
    <xf numFmtId="0" fontId="11" fillId="0" borderId="58" xfId="0" applyFont="1" applyBorder="1" applyAlignment="1">
      <alignment vertical="center" wrapText="1"/>
    </xf>
    <xf numFmtId="0" fontId="19" fillId="37" borderId="14" xfId="0" applyFont="1" applyFill="1" applyBorder="1" applyAlignment="1">
      <alignment horizontal="center" vertical="center"/>
    </xf>
    <xf numFmtId="0" fontId="19" fillId="37" borderId="57" xfId="0" applyFont="1" applyFill="1" applyBorder="1" applyAlignment="1">
      <alignment horizontal="center" vertical="center"/>
    </xf>
    <xf numFmtId="0" fontId="19" fillId="37" borderId="58"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Podaci" xfId="57"/>
    <cellStyle name="Note" xfId="58"/>
    <cellStyle name="Obično_Knjiga2" xfId="59"/>
    <cellStyle name="Output" xfId="60"/>
    <cellStyle name="Percent" xfId="61"/>
    <cellStyle name="Title" xfId="62"/>
    <cellStyle name="Total" xfId="63"/>
    <cellStyle name="Warning Text" xfId="64"/>
  </cellStyles>
  <dxfs count="7">
    <dxf>
      <font>
        <b/>
        <i val="0"/>
        <color indexed="10"/>
      </font>
      <fill>
        <patternFill>
          <bgColor indexed="22"/>
        </patternFill>
      </fill>
    </dxf>
    <dxf>
      <font>
        <b/>
        <i val="0"/>
        <color indexed="34"/>
      </font>
      <fill>
        <patternFill>
          <bgColor indexed="56"/>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419100</xdr:colOff>
      <xdr:row>18</xdr:row>
      <xdr:rowOff>152400</xdr:rowOff>
    </xdr:from>
    <xdr:to>
      <xdr:col>9</xdr:col>
      <xdr:colOff>495300</xdr:colOff>
      <xdr:row>39</xdr:row>
      <xdr:rowOff>28575</xdr:rowOff>
    </xdr:to>
    <xdr:pic>
      <xdr:nvPicPr>
        <xdr:cNvPr id="1" name="Picture 3" descr="HUB obrazac - sivi"/>
        <xdr:cNvPicPr preferRelativeResize="1">
          <a:picLocks noChangeAspect="1"/>
        </xdr:cNvPicPr>
      </xdr:nvPicPr>
      <xdr:blipFill>
        <a:blip r:embed="rId1"/>
        <a:stretch>
          <a:fillRect/>
        </a:stretch>
      </xdr:blipFill>
      <xdr:spPr>
        <a:xfrm>
          <a:off x="419100" y="6057900"/>
          <a:ext cx="5819775"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16</xdr:row>
      <xdr:rowOff>0</xdr:rowOff>
    </xdr:from>
    <xdr:to>
      <xdr:col>14</xdr:col>
      <xdr:colOff>0</xdr:colOff>
      <xdr:row>17</xdr:row>
      <xdr:rowOff>0</xdr:rowOff>
    </xdr:to>
    <xdr:grpSp>
      <xdr:nvGrpSpPr>
        <xdr:cNvPr id="1" name="Group 11"/>
        <xdr:cNvGrpSpPr>
          <a:grpSpLocks/>
        </xdr:cNvGrpSpPr>
      </xdr:nvGrpSpPr>
      <xdr:grpSpPr>
        <a:xfrm>
          <a:off x="4838700" y="3638550"/>
          <a:ext cx="2238375" cy="19050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pod-dop@dzs.hr"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291"/>
  <sheetViews>
    <sheetView showGridLines="0" showRowColHeaders="0" zoomScalePageLayoutView="0" workbookViewId="0" topLeftCell="A1">
      <selection activeCell="A1" sqref="A1"/>
    </sheetView>
  </sheetViews>
  <sheetFormatPr defaultColWidth="9.140625" defaultRowHeight="12.75"/>
  <cols>
    <col min="1" max="1" width="16.57421875" style="0" customWidth="1"/>
    <col min="2" max="2" width="15.421875" style="18" customWidth="1"/>
    <col min="3" max="3" width="5.421875" style="0" customWidth="1"/>
    <col min="4" max="4" width="9.8515625" style="0" customWidth="1"/>
    <col min="5" max="5" width="6.421875" style="0" customWidth="1"/>
    <col min="6" max="6" width="5.00390625" style="0" customWidth="1"/>
    <col min="7" max="7" width="9.421875" style="0" customWidth="1"/>
    <col min="8" max="8" width="12.57421875" style="33" customWidth="1"/>
    <col min="9" max="9" width="10.421875" style="0" customWidth="1"/>
    <col min="10" max="11" width="10.140625" style="27" customWidth="1"/>
    <col min="12" max="20" width="8.421875" style="27" customWidth="1"/>
    <col min="21" max="24" width="9.140625" style="27" customWidth="1"/>
    <col min="25" max="25" width="9.8515625" style="0" customWidth="1"/>
    <col min="26" max="27" width="10.57421875" style="0" customWidth="1"/>
    <col min="28" max="28" width="12.7109375" style="0" customWidth="1"/>
    <col min="29" max="29" width="12.8515625" style="0" customWidth="1"/>
  </cols>
  <sheetData>
    <row r="1" spans="1:29" ht="12.75">
      <c r="A1" s="30" t="s">
        <v>872</v>
      </c>
      <c r="B1" s="31" t="s">
        <v>873</v>
      </c>
      <c r="C1" s="30"/>
      <c r="D1" s="30" t="s">
        <v>874</v>
      </c>
      <c r="E1" s="30" t="s">
        <v>875</v>
      </c>
      <c r="F1" s="30" t="s">
        <v>2060</v>
      </c>
      <c r="G1" s="30" t="s">
        <v>876</v>
      </c>
      <c r="H1" s="37" t="s">
        <v>2154</v>
      </c>
      <c r="I1" s="30" t="s">
        <v>1094</v>
      </c>
      <c r="J1" s="59" t="s">
        <v>2155</v>
      </c>
      <c r="K1" s="59" t="s">
        <v>2156</v>
      </c>
      <c r="L1" s="59" t="s">
        <v>2157</v>
      </c>
      <c r="M1" s="59" t="s">
        <v>2158</v>
      </c>
      <c r="N1" s="59" t="s">
        <v>2159</v>
      </c>
      <c r="O1" s="59" t="s">
        <v>600</v>
      </c>
      <c r="P1" s="59" t="s">
        <v>601</v>
      </c>
      <c r="Q1" s="59" t="s">
        <v>602</v>
      </c>
      <c r="R1" s="59" t="s">
        <v>603</v>
      </c>
      <c r="S1" s="59" t="s">
        <v>604</v>
      </c>
      <c r="T1" s="59" t="s">
        <v>861</v>
      </c>
      <c r="U1" s="59" t="s">
        <v>256</v>
      </c>
      <c r="V1" s="59" t="s">
        <v>257</v>
      </c>
      <c r="W1" s="59" t="s">
        <v>258</v>
      </c>
      <c r="X1" s="59" t="s">
        <v>259</v>
      </c>
      <c r="Y1" s="30" t="s">
        <v>260</v>
      </c>
      <c r="Z1" s="30" t="s">
        <v>261</v>
      </c>
      <c r="AA1" s="30" t="s">
        <v>262</v>
      </c>
      <c r="AB1" s="30" t="s">
        <v>263</v>
      </c>
      <c r="AC1" s="32" t="s">
        <v>1805</v>
      </c>
    </row>
    <row r="2" spans="1:29" ht="12.75">
      <c r="A2" s="20" t="s">
        <v>1335</v>
      </c>
      <c r="B2" s="35">
        <f>Opci!G14</f>
        <v>2013</v>
      </c>
      <c r="D2" s="226" t="s">
        <v>1090</v>
      </c>
      <c r="E2" s="227">
        <v>1</v>
      </c>
      <c r="F2" s="227">
        <f>Bilanca!I10</f>
        <v>1</v>
      </c>
      <c r="G2" s="227">
        <f>IF(Bilanca!J10=0,"",Bilanca!J10)</f>
      </c>
      <c r="H2" s="228">
        <f aca="true" t="shared" si="0" ref="H2:H48">J2/100*F2+2*K2/100*F2</f>
        <v>8116638.67</v>
      </c>
      <c r="I2" s="227">
        <f aca="true" t="shared" si="1" ref="I2:I7">ABS(ROUND(J2,0)-J2)+ABS(ROUND(K2,0)-K2)</f>
        <v>0</v>
      </c>
      <c r="J2" s="229">
        <f>Bilanca!K10</f>
        <v>193626665</v>
      </c>
      <c r="K2" s="230">
        <f>Bilanca!L10</f>
        <v>309018601</v>
      </c>
      <c r="L2" s="60"/>
      <c r="M2" s="62"/>
      <c r="N2" s="62"/>
      <c r="O2" s="62"/>
      <c r="P2" s="62"/>
      <c r="Q2" s="62"/>
      <c r="R2" s="62"/>
      <c r="S2" s="62"/>
      <c r="T2" s="62"/>
      <c r="U2" s="62"/>
      <c r="V2" s="62"/>
      <c r="W2" s="62"/>
      <c r="X2" s="61"/>
      <c r="Y2" s="20">
        <f>IF(ListaMB!D9&lt;&gt;"",TEXT(ListaMB!B9,"00000000"),"")</f>
      </c>
      <c r="Z2" s="20">
        <f>IF(ListaMB!D9&lt;&gt;"",ListaMB!D9,"")</f>
      </c>
      <c r="AA2" s="20">
        <f>IF(ListaMB!D9&lt;&gt;"",ListaMB!I9,"")</f>
      </c>
      <c r="AB2" s="21">
        <f>IF(ListaMB!D9&lt;&gt;"",ListaMB!K9,0)</f>
        <v>0</v>
      </c>
      <c r="AC2">
        <f>LEN(Y2)+LEN(Z2)+LEN(AA2)+INT(AB2)</f>
        <v>0</v>
      </c>
    </row>
    <row r="3" spans="1:29" ht="12.75">
      <c r="A3" s="20" t="s">
        <v>2286</v>
      </c>
      <c r="B3" s="35" t="s">
        <v>347</v>
      </c>
      <c r="D3" s="231" t="s">
        <v>1090</v>
      </c>
      <c r="E3" s="232">
        <v>1</v>
      </c>
      <c r="F3" s="232">
        <f>Bilanca!I11</f>
        <v>2</v>
      </c>
      <c r="G3" s="232">
        <f>IF(Bilanca!J11=0,"",Bilanca!J11)</f>
      </c>
      <c r="H3" s="233">
        <f t="shared" si="0"/>
        <v>1567649.22</v>
      </c>
      <c r="I3" s="232">
        <f t="shared" si="1"/>
        <v>0</v>
      </c>
      <c r="J3" s="197">
        <f>Bilanca!K11</f>
        <v>25609717</v>
      </c>
      <c r="K3" s="198">
        <f>Bilanca!L11</f>
        <v>26386372</v>
      </c>
      <c r="L3" s="60"/>
      <c r="M3" s="62"/>
      <c r="N3" s="62"/>
      <c r="O3" s="62"/>
      <c r="P3" s="62"/>
      <c r="Q3" s="62"/>
      <c r="R3" s="62"/>
      <c r="S3" s="62"/>
      <c r="T3" s="62"/>
      <c r="U3" s="62"/>
      <c r="V3" s="62"/>
      <c r="W3" s="62"/>
      <c r="X3" s="61"/>
      <c r="Y3" s="20">
        <f>IF(ListaMB!D10&lt;&gt;"",TEXT(ListaMB!B10,"00000000"),"")</f>
      </c>
      <c r="Z3" s="20">
        <f>IF(ListaMB!D10&lt;&gt;"",ListaMB!D10,"")</f>
      </c>
      <c r="AA3" s="20">
        <f>IF(ListaMB!D10&lt;&gt;"",ListaMB!I10,"")</f>
      </c>
      <c r="AB3" s="21">
        <f>IF(ListaMB!D10&lt;&gt;"",ListaMB!K10,0)</f>
        <v>0</v>
      </c>
      <c r="AC3">
        <f aca="true" t="shared" si="2" ref="AC3:AC66">LEN(Y3)+LEN(Z3)+LEN(AA3)+INT(AB3)</f>
        <v>0</v>
      </c>
    </row>
    <row r="4" spans="1:29" ht="12.75">
      <c r="A4" s="20" t="s">
        <v>2287</v>
      </c>
      <c r="B4" s="35" t="s">
        <v>2190</v>
      </c>
      <c r="D4" s="231" t="s">
        <v>1090</v>
      </c>
      <c r="E4" s="232">
        <v>1</v>
      </c>
      <c r="F4" s="232">
        <f>Bilanca!I12</f>
        <v>3</v>
      </c>
      <c r="G4" s="232">
        <f>IF(Bilanca!J12=0,"",Bilanca!J12)</f>
      </c>
      <c r="H4" s="233">
        <f t="shared" si="0"/>
        <v>21998442.18</v>
      </c>
      <c r="I4" s="232">
        <f t="shared" si="1"/>
        <v>0</v>
      </c>
      <c r="J4" s="197">
        <f>Bilanca!K12</f>
        <v>168016948</v>
      </c>
      <c r="K4" s="198">
        <f>Bilanca!L12</f>
        <v>282632229</v>
      </c>
      <c r="L4" s="60"/>
      <c r="M4" s="62"/>
      <c r="N4" s="62"/>
      <c r="O4" s="62"/>
      <c r="P4" s="62"/>
      <c r="Q4" s="62"/>
      <c r="R4" s="62"/>
      <c r="S4" s="62"/>
      <c r="T4" s="62"/>
      <c r="U4" s="62"/>
      <c r="V4" s="62"/>
      <c r="W4" s="62"/>
      <c r="X4" s="61"/>
      <c r="Y4" s="20">
        <f>IF(ListaMB!D11&lt;&gt;"",TEXT(ListaMB!B11,"00000000"),"")</f>
      </c>
      <c r="Z4" s="20">
        <f>IF(ListaMB!D11&lt;&gt;"",ListaMB!D11,"")</f>
      </c>
      <c r="AA4" s="20">
        <f>IF(ListaMB!D11&lt;&gt;"",ListaMB!I11,"")</f>
      </c>
      <c r="AB4" s="21">
        <f>IF(ListaMB!D11&lt;&gt;"",ListaMB!K11,0)</f>
        <v>0</v>
      </c>
      <c r="AC4">
        <f t="shared" si="2"/>
        <v>0</v>
      </c>
    </row>
    <row r="5" spans="1:29" ht="12.75">
      <c r="A5" t="s">
        <v>871</v>
      </c>
      <c r="B5" s="18">
        <f>IF(ISNUMBER(Opci!C17),Opci!C17,0)</f>
        <v>10</v>
      </c>
      <c r="D5" s="231" t="s">
        <v>1090</v>
      </c>
      <c r="E5" s="232">
        <v>1</v>
      </c>
      <c r="F5" s="232">
        <f>Bilanca!I13</f>
        <v>4</v>
      </c>
      <c r="G5" s="232">
        <f>IF(Bilanca!J13=0,"",Bilanca!J13)</f>
      </c>
      <c r="H5" s="233">
        <f t="shared" si="0"/>
        <v>23329193.28</v>
      </c>
      <c r="I5" s="232">
        <f t="shared" si="1"/>
        <v>0</v>
      </c>
      <c r="J5" s="197">
        <f>Bilanca!K13</f>
        <v>158461910</v>
      </c>
      <c r="K5" s="198">
        <f>Bilanca!L13</f>
        <v>212383961</v>
      </c>
      <c r="L5" s="60"/>
      <c r="M5" s="62"/>
      <c r="N5" s="62"/>
      <c r="O5" s="62"/>
      <c r="P5" s="62"/>
      <c r="Q5" s="62"/>
      <c r="R5" s="62"/>
      <c r="S5" s="62"/>
      <c r="T5" s="62"/>
      <c r="U5" s="62"/>
      <c r="V5" s="62"/>
      <c r="W5" s="62"/>
      <c r="X5" s="61"/>
      <c r="Y5" s="20">
        <f>IF(ListaMB!D12&lt;&gt;"",TEXT(ListaMB!B12,"00000000"),"")</f>
      </c>
      <c r="Z5" s="20">
        <f>IF(ListaMB!D12&lt;&gt;"",ListaMB!D12,"")</f>
      </c>
      <c r="AA5" s="20">
        <f>IF(ListaMB!D12&lt;&gt;"",ListaMB!I12,"")</f>
      </c>
      <c r="AB5" s="21">
        <f>IF(ListaMB!D12&lt;&gt;"",ListaMB!K12,0)</f>
        <v>0</v>
      </c>
      <c r="AC5">
        <f t="shared" si="2"/>
        <v>0</v>
      </c>
    </row>
    <row r="6" spans="1:29" ht="12.75">
      <c r="A6" t="s">
        <v>862</v>
      </c>
      <c r="B6" s="18" t="str">
        <f>Opci!C19</f>
        <v>03467988</v>
      </c>
      <c r="D6" s="231" t="s">
        <v>1090</v>
      </c>
      <c r="E6" s="232">
        <v>1</v>
      </c>
      <c r="F6" s="232">
        <f>Bilanca!I14</f>
        <v>5</v>
      </c>
      <c r="G6" s="232">
        <f>IF(Bilanca!J14=0,"",Bilanca!J14)</f>
      </c>
      <c r="H6" s="233">
        <f t="shared" si="0"/>
        <v>30531304.5</v>
      </c>
      <c r="I6" s="232">
        <f t="shared" si="1"/>
        <v>0</v>
      </c>
      <c r="J6" s="197">
        <f>Bilanca!K14</f>
        <v>241068428</v>
      </c>
      <c r="K6" s="198">
        <f>Bilanca!L14</f>
        <v>184778831</v>
      </c>
      <c r="L6" s="60"/>
      <c r="M6" s="62"/>
      <c r="N6" s="62"/>
      <c r="O6" s="62"/>
      <c r="P6" s="62"/>
      <c r="Q6" s="62"/>
      <c r="R6" s="62"/>
      <c r="S6" s="62"/>
      <c r="T6" s="62"/>
      <c r="U6" s="62"/>
      <c r="V6" s="62"/>
      <c r="W6" s="62"/>
      <c r="X6" s="61"/>
      <c r="Y6" s="20">
        <f>IF(ListaMB!D13&lt;&gt;"",TEXT(ListaMB!B13,"00000000"),"")</f>
      </c>
      <c r="Z6" s="20">
        <f>IF(ListaMB!D13&lt;&gt;"",ListaMB!D13,"")</f>
      </c>
      <c r="AA6" s="20">
        <f>IF(ListaMB!D13&lt;&gt;"",ListaMB!I13,"")</f>
      </c>
      <c r="AB6" s="21">
        <f>IF(ListaMB!D13&lt;&gt;"",ListaMB!K13,0)</f>
        <v>0</v>
      </c>
      <c r="AC6">
        <f t="shared" si="2"/>
        <v>0</v>
      </c>
    </row>
    <row r="7" spans="1:29" ht="12.75">
      <c r="A7" t="s">
        <v>863</v>
      </c>
      <c r="B7" s="18" t="str">
        <f>Opci!C21</f>
        <v>080007370</v>
      </c>
      <c r="D7" s="231" t="s">
        <v>1090</v>
      </c>
      <c r="E7" s="232">
        <v>1</v>
      </c>
      <c r="F7" s="232">
        <f>Bilanca!I15</f>
        <v>6</v>
      </c>
      <c r="G7" s="232">
        <f>IF(Bilanca!J15=0,"",Bilanca!J15)</f>
      </c>
      <c r="H7" s="233">
        <f t="shared" si="0"/>
        <v>609762.48</v>
      </c>
      <c r="I7" s="232">
        <f t="shared" si="1"/>
        <v>0</v>
      </c>
      <c r="J7" s="197">
        <f>Bilanca!K15</f>
        <v>0</v>
      </c>
      <c r="K7" s="198">
        <f>Bilanca!L15</f>
        <v>5081354</v>
      </c>
      <c r="L7" s="60"/>
      <c r="M7" s="62"/>
      <c r="N7" s="62"/>
      <c r="O7" s="62"/>
      <c r="P7" s="62"/>
      <c r="Q7" s="62"/>
      <c r="R7" s="62"/>
      <c r="S7" s="62"/>
      <c r="T7" s="62"/>
      <c r="U7" s="62"/>
      <c r="V7" s="62"/>
      <c r="W7" s="62"/>
      <c r="X7" s="61"/>
      <c r="Y7" s="20">
        <f>IF(ListaMB!D14&lt;&gt;"",TEXT(ListaMB!B14,"00000000"),"")</f>
      </c>
      <c r="Z7" s="20">
        <f>IF(ListaMB!D14&lt;&gt;"",ListaMB!D14,"")</f>
      </c>
      <c r="AA7" s="20">
        <f>IF(ListaMB!D14&lt;&gt;"",ListaMB!I14,"")</f>
      </c>
      <c r="AB7" s="21">
        <f>IF(ListaMB!D14&lt;&gt;"",ListaMB!K14,0)</f>
        <v>0</v>
      </c>
      <c r="AC7">
        <f t="shared" si="2"/>
        <v>0</v>
      </c>
    </row>
    <row r="8" spans="1:29" ht="12.75">
      <c r="A8" t="s">
        <v>607</v>
      </c>
      <c r="B8" s="18" t="str">
        <f>Opci!C23</f>
        <v>32247795989</v>
      </c>
      <c r="D8" s="231" t="s">
        <v>1090</v>
      </c>
      <c r="E8" s="232">
        <v>1</v>
      </c>
      <c r="F8" s="232">
        <f>Bilanca!I16</f>
        <v>7</v>
      </c>
      <c r="G8" s="232">
        <f>IF(Bilanca!J16=0,"",Bilanca!J16)</f>
      </c>
      <c r="H8" s="233">
        <f t="shared" si="0"/>
        <v>34218831.57</v>
      </c>
      <c r="I8" s="234">
        <f>ABS(ROUND(J8,0)-J8)+ABS(ROUND(K8,0)-K8)</f>
        <v>0</v>
      </c>
      <c r="J8" s="197">
        <f>Bilanca!K16</f>
        <v>194786099</v>
      </c>
      <c r="K8" s="198">
        <f>Bilanca!L16</f>
        <v>147027176</v>
      </c>
      <c r="L8" s="60"/>
      <c r="M8" s="62"/>
      <c r="N8" s="62"/>
      <c r="O8" s="62"/>
      <c r="P8" s="62"/>
      <c r="Q8" s="62"/>
      <c r="R8" s="62"/>
      <c r="S8" s="62"/>
      <c r="T8" s="62"/>
      <c r="U8" s="62"/>
      <c r="V8" s="62"/>
      <c r="W8" s="62"/>
      <c r="X8" s="61"/>
      <c r="Y8" s="20">
        <f>IF(ListaMB!D15&lt;&gt;"",TEXT(ListaMB!B15,"00000000"),"")</f>
      </c>
      <c r="Z8" s="20">
        <f>IF(ListaMB!D15&lt;&gt;"",ListaMB!D15,"")</f>
      </c>
      <c r="AA8" s="20">
        <f>IF(ListaMB!D15&lt;&gt;"",ListaMB!I15,"")</f>
      </c>
      <c r="AB8" s="21">
        <f>IF(ListaMB!D15&lt;&gt;"",ListaMB!K15,0)</f>
        <v>0</v>
      </c>
      <c r="AC8">
        <f t="shared" si="2"/>
        <v>0</v>
      </c>
    </row>
    <row r="9" spans="1:29" ht="12.75">
      <c r="A9" t="s">
        <v>864</v>
      </c>
      <c r="B9" s="18" t="str">
        <f>TRIM(Opci!C25)</f>
        <v>CROATIA BANKA d.d.</v>
      </c>
      <c r="D9" s="231" t="s">
        <v>1090</v>
      </c>
      <c r="E9" s="232">
        <v>1</v>
      </c>
      <c r="F9" s="232">
        <f>Bilanca!I17</f>
        <v>8</v>
      </c>
      <c r="G9" s="232">
        <f>IF(Bilanca!J17=0,"",Bilanca!J17)</f>
      </c>
      <c r="H9" s="233">
        <f t="shared" si="0"/>
        <v>0</v>
      </c>
      <c r="I9" s="232">
        <f aca="true" t="shared" si="3" ref="I9:I48">ABS(ROUND(J9,0)-J9)+ABS(ROUND(K9,0)-K9)</f>
        <v>0</v>
      </c>
      <c r="J9" s="197">
        <f>Bilanca!K17</f>
        <v>0</v>
      </c>
      <c r="K9" s="198">
        <f>Bilanca!L17</f>
        <v>0</v>
      </c>
      <c r="L9" s="60"/>
      <c r="M9" s="62"/>
      <c r="N9" s="62"/>
      <c r="O9" s="62"/>
      <c r="P9" s="62"/>
      <c r="Q9" s="62"/>
      <c r="R9" s="62"/>
      <c r="S9" s="62"/>
      <c r="T9" s="62"/>
      <c r="U9" s="62"/>
      <c r="V9" s="62"/>
      <c r="W9" s="62"/>
      <c r="X9" s="61"/>
      <c r="Y9" s="20">
        <f>IF(ListaMB!D16&lt;&gt;"",TEXT(ListaMB!B16,"00000000"),"")</f>
      </c>
      <c r="Z9" s="20">
        <f>IF(ListaMB!D16&lt;&gt;"",ListaMB!D16,"")</f>
      </c>
      <c r="AA9" s="20">
        <f>IF(ListaMB!D16&lt;&gt;"",ListaMB!I16,"")</f>
      </c>
      <c r="AB9" s="21">
        <f>IF(ListaMB!D16&lt;&gt;"",ListaMB!K16,0)</f>
        <v>0</v>
      </c>
      <c r="AC9">
        <f t="shared" si="2"/>
        <v>0</v>
      </c>
    </row>
    <row r="10" spans="1:29" ht="12.75">
      <c r="A10" t="s">
        <v>865</v>
      </c>
      <c r="B10" s="18" t="str">
        <f>TEXT(Opci!C27,"00000")</f>
        <v>10000</v>
      </c>
      <c r="D10" s="231" t="s">
        <v>1090</v>
      </c>
      <c r="E10" s="232">
        <v>1</v>
      </c>
      <c r="F10" s="232">
        <f>Bilanca!I18</f>
        <v>9</v>
      </c>
      <c r="G10" s="232">
        <f>IF(Bilanca!J18=0,"",Bilanca!J18)</f>
      </c>
      <c r="H10" s="233">
        <f t="shared" si="0"/>
        <v>0</v>
      </c>
      <c r="I10" s="232">
        <f t="shared" si="3"/>
        <v>0</v>
      </c>
      <c r="J10" s="197">
        <f>Bilanca!K18</f>
        <v>0</v>
      </c>
      <c r="K10" s="198">
        <f>Bilanca!L18</f>
        <v>0</v>
      </c>
      <c r="L10" s="60"/>
      <c r="M10" s="62"/>
      <c r="N10" s="62"/>
      <c r="O10" s="62"/>
      <c r="P10" s="62"/>
      <c r="Q10" s="62"/>
      <c r="R10" s="62"/>
      <c r="S10" s="62"/>
      <c r="T10" s="62"/>
      <c r="U10" s="62"/>
      <c r="V10" s="62"/>
      <c r="W10" s="62"/>
      <c r="X10" s="61"/>
      <c r="Y10" s="20">
        <f>IF(ListaMB!D17&lt;&gt;"",TEXT(ListaMB!B17,"00000000"),"")</f>
      </c>
      <c r="Z10" s="20">
        <f>IF(ListaMB!D17&lt;&gt;"",ListaMB!D17,"")</f>
      </c>
      <c r="AA10" s="20">
        <f>IF(ListaMB!D17&lt;&gt;"",ListaMB!I17,"")</f>
      </c>
      <c r="AB10" s="21">
        <f>IF(ListaMB!D17&lt;&gt;"",ListaMB!K17,0)</f>
        <v>0</v>
      </c>
      <c r="AC10">
        <f t="shared" si="2"/>
        <v>0</v>
      </c>
    </row>
    <row r="11" spans="1:29" ht="12.75">
      <c r="A11" t="s">
        <v>866</v>
      </c>
      <c r="B11" s="18" t="str">
        <f>TRIM(Opci!F27)</f>
        <v>ZAGREB</v>
      </c>
      <c r="D11" s="231" t="s">
        <v>1090</v>
      </c>
      <c r="E11" s="232">
        <v>1</v>
      </c>
      <c r="F11" s="232">
        <f>Bilanca!I19</f>
        <v>10</v>
      </c>
      <c r="G11" s="232">
        <f>IF(Bilanca!J19=0,"",Bilanca!J19)</f>
      </c>
      <c r="H11" s="233">
        <f t="shared" si="0"/>
        <v>19692.2</v>
      </c>
      <c r="I11" s="232">
        <f t="shared" si="3"/>
        <v>0</v>
      </c>
      <c r="J11" s="197">
        <f>Bilanca!K19</f>
        <v>113278</v>
      </c>
      <c r="K11" s="198">
        <f>Bilanca!L19</f>
        <v>41822</v>
      </c>
      <c r="L11" s="60"/>
      <c r="M11" s="62"/>
      <c r="N11" s="62"/>
      <c r="O11" s="62"/>
      <c r="P11" s="62"/>
      <c r="Q11" s="62"/>
      <c r="R11" s="62"/>
      <c r="S11" s="62"/>
      <c r="T11" s="62"/>
      <c r="U11" s="62"/>
      <c r="V11" s="62"/>
      <c r="W11" s="62"/>
      <c r="X11" s="61"/>
      <c r="Y11" s="20">
        <f>IF(ListaMB!D18&lt;&gt;"",TEXT(ListaMB!B18,"00000000"),"")</f>
      </c>
      <c r="Z11" s="20">
        <f>IF(ListaMB!D18&lt;&gt;"",ListaMB!D18,"")</f>
      </c>
      <c r="AA11" s="20">
        <f>IF(ListaMB!D18&lt;&gt;"",ListaMB!I18,"")</f>
      </c>
      <c r="AB11" s="21">
        <f>IF(ListaMB!D18&lt;&gt;"",ListaMB!K18,0)</f>
        <v>0</v>
      </c>
      <c r="AC11">
        <f t="shared" si="2"/>
        <v>0</v>
      </c>
    </row>
    <row r="12" spans="1:29" ht="12.75">
      <c r="A12" t="s">
        <v>867</v>
      </c>
      <c r="B12" s="18" t="str">
        <f>TRIM(Opci!C29)</f>
        <v>R. Frangeša Mihanovića 9</v>
      </c>
      <c r="D12" s="231" t="s">
        <v>1090</v>
      </c>
      <c r="E12" s="232">
        <v>1</v>
      </c>
      <c r="F12" s="232">
        <f>Bilanca!I20</f>
        <v>11</v>
      </c>
      <c r="G12" s="232">
        <f>IF(Bilanca!J20=0,"",Bilanca!J20)</f>
      </c>
      <c r="H12" s="233">
        <f t="shared" si="0"/>
        <v>13268092.530000001</v>
      </c>
      <c r="I12" s="232">
        <f t="shared" si="3"/>
        <v>0</v>
      </c>
      <c r="J12" s="197">
        <f>Bilanca!K20</f>
        <v>53392629</v>
      </c>
      <c r="K12" s="198">
        <f>Bilanca!L20</f>
        <v>33613197</v>
      </c>
      <c r="L12" s="60"/>
      <c r="M12" s="62"/>
      <c r="N12" s="62"/>
      <c r="O12" s="62"/>
      <c r="P12" s="62"/>
      <c r="Q12" s="62"/>
      <c r="R12" s="62"/>
      <c r="S12" s="62"/>
      <c r="T12" s="62"/>
      <c r="U12" s="62"/>
      <c r="V12" s="62"/>
      <c r="W12" s="62"/>
      <c r="X12" s="61"/>
      <c r="Y12" s="20">
        <f>IF(ListaMB!D19&lt;&gt;"",TEXT(ListaMB!B19,"00000000"),"")</f>
      </c>
      <c r="Z12" s="20">
        <f>IF(ListaMB!D19&lt;&gt;"",ListaMB!D19,"")</f>
      </c>
      <c r="AA12" s="20">
        <f>IF(ListaMB!D19&lt;&gt;"",ListaMB!I19,"")</f>
      </c>
      <c r="AB12" s="21">
        <f>IF(ListaMB!D19&lt;&gt;"",ListaMB!K19,0)</f>
        <v>0</v>
      </c>
      <c r="AC12">
        <f t="shared" si="2"/>
        <v>0</v>
      </c>
    </row>
    <row r="13" spans="1:29" ht="12.75">
      <c r="A13" t="s">
        <v>608</v>
      </c>
      <c r="B13" s="18" t="str">
        <f>TRIM(Opci!C31)</f>
        <v>monika.rajkovic@croatiabanka.hr</v>
      </c>
      <c r="D13" s="231" t="s">
        <v>1090</v>
      </c>
      <c r="E13" s="232">
        <v>1</v>
      </c>
      <c r="F13" s="232">
        <f>Bilanca!I21</f>
        <v>12</v>
      </c>
      <c r="G13" s="232">
        <f>IF(Bilanca!J21=0,"",Bilanca!J21)</f>
      </c>
      <c r="H13" s="233">
        <f t="shared" si="0"/>
        <v>505765901.03999996</v>
      </c>
      <c r="I13" s="232">
        <f t="shared" si="3"/>
        <v>0</v>
      </c>
      <c r="J13" s="197">
        <f>Bilanca!K21</f>
        <v>1004150744</v>
      </c>
      <c r="K13" s="198">
        <f>Bilanca!L21</f>
        <v>1605282549</v>
      </c>
      <c r="L13" s="60"/>
      <c r="M13" s="62"/>
      <c r="N13" s="62"/>
      <c r="O13" s="62"/>
      <c r="P13" s="62"/>
      <c r="Q13" s="62"/>
      <c r="R13" s="62"/>
      <c r="S13" s="62"/>
      <c r="T13" s="62"/>
      <c r="U13" s="62"/>
      <c r="V13" s="62"/>
      <c r="W13" s="62"/>
      <c r="X13" s="61"/>
      <c r="Y13" s="20">
        <f>IF(ListaMB!D20&lt;&gt;"",TEXT(ListaMB!B20,"00000000"),"")</f>
      </c>
      <c r="Z13" s="20">
        <f>IF(ListaMB!D20&lt;&gt;"",ListaMB!D20,"")</f>
      </c>
      <c r="AA13" s="20">
        <f>IF(ListaMB!D20&lt;&gt;"",ListaMB!I20,"")</f>
      </c>
      <c r="AB13" s="21">
        <f>IF(ListaMB!D20&lt;&gt;"",ListaMB!K20,0)</f>
        <v>0</v>
      </c>
      <c r="AC13">
        <f t="shared" si="2"/>
        <v>0</v>
      </c>
    </row>
    <row r="14" spans="1:29" ht="12.75">
      <c r="A14" t="s">
        <v>609</v>
      </c>
      <c r="B14" s="18" t="str">
        <f>TRIM(Opci!C33)</f>
        <v>www.croatiabanka.hr</v>
      </c>
      <c r="D14" s="231" t="s">
        <v>1090</v>
      </c>
      <c r="E14" s="232">
        <v>1</v>
      </c>
      <c r="F14" s="232">
        <f>Bilanca!I22</f>
        <v>13</v>
      </c>
      <c r="G14" s="232">
        <f>IF(Bilanca!J22=0,"",Bilanca!J22)</f>
      </c>
      <c r="H14" s="233">
        <f t="shared" si="0"/>
        <v>0</v>
      </c>
      <c r="I14" s="232">
        <f t="shared" si="3"/>
        <v>0</v>
      </c>
      <c r="J14" s="197">
        <f>Bilanca!K22</f>
        <v>0</v>
      </c>
      <c r="K14" s="198">
        <f>Bilanca!L22</f>
        <v>0</v>
      </c>
      <c r="L14" s="60"/>
      <c r="M14" s="62"/>
      <c r="N14" s="62"/>
      <c r="O14" s="62"/>
      <c r="P14" s="62"/>
      <c r="Q14" s="62"/>
      <c r="R14" s="62"/>
      <c r="S14" s="62"/>
      <c r="T14" s="62"/>
      <c r="U14" s="62"/>
      <c r="V14" s="62"/>
      <c r="W14" s="62"/>
      <c r="X14" s="61"/>
      <c r="Y14" s="20">
        <f>IF(ListaMB!D21&lt;&gt;"",TEXT(ListaMB!B21,"00000000"),"")</f>
      </c>
      <c r="Z14" s="20">
        <f>IF(ListaMB!D21&lt;&gt;"",ListaMB!D21,"")</f>
      </c>
      <c r="AA14" s="20">
        <f>IF(ListaMB!D21&lt;&gt;"",ListaMB!I21,"")</f>
      </c>
      <c r="AB14" s="21">
        <f>IF(ListaMB!D21&lt;&gt;"",ListaMB!K21,0)</f>
        <v>0</v>
      </c>
      <c r="AC14">
        <f t="shared" si="2"/>
        <v>0</v>
      </c>
    </row>
    <row r="15" spans="1:29" ht="12.75">
      <c r="A15" t="s">
        <v>870</v>
      </c>
      <c r="B15" s="18" t="str">
        <f>TEXT(Opci!C37,"00")</f>
        <v>21</v>
      </c>
      <c r="D15" s="231" t="s">
        <v>1090</v>
      </c>
      <c r="E15" s="232">
        <v>1</v>
      </c>
      <c r="F15" s="232">
        <f>Bilanca!I23</f>
        <v>14</v>
      </c>
      <c r="G15" s="232">
        <f>IF(Bilanca!J23=0,"",Bilanca!J23)</f>
      </c>
      <c r="H15" s="233">
        <f t="shared" si="0"/>
        <v>25767833.84</v>
      </c>
      <c r="I15" s="232">
        <f t="shared" si="3"/>
        <v>0</v>
      </c>
      <c r="J15" s="197">
        <f>Bilanca!K23</f>
        <v>60245894</v>
      </c>
      <c r="K15" s="198">
        <f>Bilanca!L23</f>
        <v>61905031</v>
      </c>
      <c r="L15" s="60"/>
      <c r="M15" s="62"/>
      <c r="N15" s="62"/>
      <c r="O15" s="62"/>
      <c r="P15" s="62"/>
      <c r="Q15" s="62"/>
      <c r="R15" s="62"/>
      <c r="S15" s="62"/>
      <c r="T15" s="62"/>
      <c r="U15" s="62"/>
      <c r="V15" s="62"/>
      <c r="W15" s="62"/>
      <c r="X15" s="61"/>
      <c r="Y15" s="20">
        <f>IF(ListaMB!D22&lt;&gt;"",TEXT(ListaMB!B22,"00000000"),"")</f>
      </c>
      <c r="Z15" s="20">
        <f>IF(ListaMB!D22&lt;&gt;"",ListaMB!D22,"")</f>
      </c>
      <c r="AA15" s="20">
        <f>IF(ListaMB!D22&lt;&gt;"",ListaMB!I22,"")</f>
      </c>
      <c r="AB15" s="21">
        <f>IF(ListaMB!D22&lt;&gt;"",ListaMB!K22,0)</f>
        <v>0</v>
      </c>
      <c r="AC15">
        <f t="shared" si="2"/>
        <v>0</v>
      </c>
    </row>
    <row r="16" spans="1:29" ht="12.75">
      <c r="A16" t="s">
        <v>869</v>
      </c>
      <c r="B16" s="18" t="str">
        <f>TEXT(Opci!C35,"000")</f>
        <v>133</v>
      </c>
      <c r="D16" s="231" t="s">
        <v>1090</v>
      </c>
      <c r="E16" s="232">
        <v>1</v>
      </c>
      <c r="F16" s="232">
        <f>Bilanca!I24</f>
        <v>15</v>
      </c>
      <c r="G16" s="232">
        <f>IF(Bilanca!J24=0,"",Bilanca!J24)</f>
      </c>
      <c r="H16" s="233">
        <f t="shared" si="0"/>
        <v>9506076.75</v>
      </c>
      <c r="I16" s="232">
        <f t="shared" si="3"/>
        <v>0</v>
      </c>
      <c r="J16" s="197">
        <f>Bilanca!K24</f>
        <v>21410077</v>
      </c>
      <c r="K16" s="198">
        <f>Bilanca!L24</f>
        <v>20981884</v>
      </c>
      <c r="L16" s="60"/>
      <c r="M16" s="62"/>
      <c r="N16" s="62"/>
      <c r="O16" s="62"/>
      <c r="P16" s="62"/>
      <c r="Q16" s="62"/>
      <c r="R16" s="62"/>
      <c r="S16" s="62"/>
      <c r="T16" s="62"/>
      <c r="U16" s="62"/>
      <c r="V16" s="62"/>
      <c r="W16" s="62"/>
      <c r="X16" s="61"/>
      <c r="Y16" s="20">
        <f>IF(ListaMB!D23&lt;&gt;"",TEXT(ListaMB!B23,"00000000"),"")</f>
      </c>
      <c r="Z16" s="20">
        <f>IF(ListaMB!D23&lt;&gt;"",ListaMB!D23,"")</f>
      </c>
      <c r="AA16" s="20">
        <f>IF(ListaMB!D23&lt;&gt;"",ListaMB!I23,"")</f>
      </c>
      <c r="AB16" s="21">
        <f>IF(ListaMB!D23&lt;&gt;"",ListaMB!K23,0)</f>
        <v>0</v>
      </c>
      <c r="AC16">
        <f t="shared" si="2"/>
        <v>0</v>
      </c>
    </row>
    <row r="17" spans="1:29" ht="12.75">
      <c r="A17" t="s">
        <v>868</v>
      </c>
      <c r="B17" s="18" t="str">
        <f>Opci!C39</f>
        <v>6419</v>
      </c>
      <c r="D17" s="231" t="s">
        <v>1090</v>
      </c>
      <c r="E17" s="232">
        <v>1</v>
      </c>
      <c r="F17" s="232">
        <f>Bilanca!I25</f>
        <v>16</v>
      </c>
      <c r="G17" s="232">
        <f>IF(Bilanca!J25=0,"",Bilanca!J25)</f>
      </c>
      <c r="H17" s="233">
        <f t="shared" si="0"/>
        <v>24601222.88</v>
      </c>
      <c r="I17" s="232">
        <f t="shared" si="3"/>
        <v>0</v>
      </c>
      <c r="J17" s="197">
        <f>Bilanca!K25</f>
        <v>56880759</v>
      </c>
      <c r="K17" s="198">
        <f>Bilanca!L25</f>
        <v>48438442</v>
      </c>
      <c r="L17" s="60"/>
      <c r="M17" s="62"/>
      <c r="N17" s="62"/>
      <c r="O17" s="62"/>
      <c r="P17" s="62"/>
      <c r="Q17" s="62"/>
      <c r="R17" s="62"/>
      <c r="S17" s="62"/>
      <c r="T17" s="62"/>
      <c r="U17" s="62"/>
      <c r="V17" s="62"/>
      <c r="W17" s="62"/>
      <c r="X17" s="61"/>
      <c r="Y17" s="20">
        <f>IF(ListaMB!D24&lt;&gt;"",TEXT(ListaMB!B24,"00000000"),"")</f>
      </c>
      <c r="Z17" s="20">
        <f>IF(ListaMB!D24&lt;&gt;"",ListaMB!D24,"")</f>
      </c>
      <c r="AA17" s="20">
        <f>IF(ListaMB!D24&lt;&gt;"",ListaMB!I24,"")</f>
      </c>
      <c r="AB17" s="21">
        <f>IF(ListaMB!D24&lt;&gt;"",ListaMB!K24,0)</f>
        <v>0</v>
      </c>
      <c r="AC17">
        <f t="shared" si="2"/>
        <v>0</v>
      </c>
    </row>
    <row r="18" spans="1:29" ht="12.75">
      <c r="A18" t="s">
        <v>610</v>
      </c>
      <c r="B18" s="18" t="str">
        <f>IF(Opci!C41&lt;&gt;"",Opci!C41,"")</f>
        <v>NE</v>
      </c>
      <c r="D18" s="231" t="s">
        <v>1090</v>
      </c>
      <c r="E18" s="232">
        <v>1</v>
      </c>
      <c r="F18" s="232">
        <f>Bilanca!I26</f>
        <v>17</v>
      </c>
      <c r="G18" s="232">
        <f>IF(Bilanca!J26=0,"",Bilanca!J26)</f>
      </c>
      <c r="H18" s="233">
        <f t="shared" si="0"/>
        <v>1231011170.43</v>
      </c>
      <c r="I18" s="232">
        <f t="shared" si="3"/>
        <v>0</v>
      </c>
      <c r="J18" s="197">
        <f>Bilanca!K26</f>
        <v>1984136483</v>
      </c>
      <c r="K18" s="198">
        <f>Bilanca!L26</f>
        <v>2628552848</v>
      </c>
      <c r="L18" s="60"/>
      <c r="M18" s="62"/>
      <c r="N18" s="62"/>
      <c r="O18" s="62"/>
      <c r="P18" s="62"/>
      <c r="Q18" s="62"/>
      <c r="R18" s="62"/>
      <c r="S18" s="62"/>
      <c r="T18" s="62"/>
      <c r="U18" s="62"/>
      <c r="V18" s="62"/>
      <c r="W18" s="62"/>
      <c r="X18" s="61"/>
      <c r="Y18" s="20">
        <f>IF(ListaMB!D25&lt;&gt;"",TEXT(ListaMB!B25,"00000000"),"")</f>
      </c>
      <c r="Z18" s="20">
        <f>IF(ListaMB!D25&lt;&gt;"",ListaMB!D25,"")</f>
      </c>
      <c r="AA18" s="20">
        <f>IF(ListaMB!D25&lt;&gt;"",ListaMB!I25,"")</f>
      </c>
      <c r="AB18" s="21">
        <f>IF(ListaMB!D25&lt;&gt;"",ListaMB!K25,0)</f>
        <v>0</v>
      </c>
      <c r="AC18">
        <f t="shared" si="2"/>
        <v>0</v>
      </c>
    </row>
    <row r="19" spans="1:29" ht="12.75">
      <c r="A19" t="s">
        <v>612</v>
      </c>
      <c r="B19" s="18" t="str">
        <f>IF(Opci!C43&lt;&gt;"",Opci!C43,"")</f>
        <v>DA</v>
      </c>
      <c r="D19" s="231" t="s">
        <v>1090</v>
      </c>
      <c r="E19" s="232">
        <v>1</v>
      </c>
      <c r="F19" s="232">
        <f>Bilanca!I28</f>
        <v>18</v>
      </c>
      <c r="G19" s="232">
        <f>IF(Bilanca!J28=0,"",Bilanca!J28)</f>
      </c>
      <c r="H19" s="233">
        <f t="shared" si="0"/>
        <v>140302872</v>
      </c>
      <c r="I19" s="232">
        <f t="shared" si="3"/>
        <v>0</v>
      </c>
      <c r="J19" s="197">
        <f>Bilanca!K28</f>
        <v>223309208</v>
      </c>
      <c r="K19" s="198">
        <f>Bilanca!L28</f>
        <v>278075596</v>
      </c>
      <c r="L19" s="60"/>
      <c r="M19" s="62"/>
      <c r="N19" s="62"/>
      <c r="O19" s="62"/>
      <c r="P19" s="62"/>
      <c r="Q19" s="62"/>
      <c r="R19" s="62"/>
      <c r="S19" s="62"/>
      <c r="T19" s="62"/>
      <c r="U19" s="62"/>
      <c r="V19" s="62"/>
      <c r="W19" s="62"/>
      <c r="X19" s="61"/>
      <c r="Y19" s="20">
        <f>IF(ListaMB!D26&lt;&gt;"",TEXT(ListaMB!B26,"00000000"),"")</f>
      </c>
      <c r="Z19" s="20">
        <f>IF(ListaMB!D26&lt;&gt;"",ListaMB!D26,"")</f>
      </c>
      <c r="AA19" s="20">
        <f>IF(ListaMB!D26&lt;&gt;"",ListaMB!I26,"")</f>
      </c>
      <c r="AB19" s="21">
        <f>IF(ListaMB!D26&lt;&gt;"",ListaMB!K26,0)</f>
        <v>0</v>
      </c>
      <c r="AC19">
        <f t="shared" si="2"/>
        <v>0</v>
      </c>
    </row>
    <row r="20" spans="1:29" ht="12.75">
      <c r="A20" t="s">
        <v>613</v>
      </c>
      <c r="B20" s="18">
        <f>Opci!C45</f>
        <v>2</v>
      </c>
      <c r="D20" s="231" t="s">
        <v>1090</v>
      </c>
      <c r="E20" s="232">
        <v>1</v>
      </c>
      <c r="F20" s="232">
        <f>Bilanca!I29</f>
        <v>19</v>
      </c>
      <c r="G20" s="232">
        <f>IF(Bilanca!J29=0,"",Bilanca!J29)</f>
      </c>
      <c r="H20" s="233">
        <f t="shared" si="0"/>
        <v>33643310.64</v>
      </c>
      <c r="I20" s="232">
        <f t="shared" si="3"/>
        <v>0</v>
      </c>
      <c r="J20" s="197">
        <f>Bilanca!K29</f>
        <v>35000000</v>
      </c>
      <c r="K20" s="198">
        <f>Bilanca!L29</f>
        <v>71035028</v>
      </c>
      <c r="L20" s="60"/>
      <c r="M20" s="62"/>
      <c r="N20" s="62"/>
      <c r="O20" s="62"/>
      <c r="P20" s="62"/>
      <c r="Q20" s="62"/>
      <c r="R20" s="62"/>
      <c r="S20" s="62"/>
      <c r="T20" s="62"/>
      <c r="U20" s="62"/>
      <c r="V20" s="62"/>
      <c r="W20" s="62"/>
      <c r="X20" s="61"/>
      <c r="Y20" s="20">
        <f>IF(ListaMB!D27&lt;&gt;"",TEXT(ListaMB!B27,"00000000"),"")</f>
      </c>
      <c r="Z20" s="20">
        <f>IF(ListaMB!D27&lt;&gt;"",ListaMB!D27,"")</f>
      </c>
      <c r="AA20" s="20">
        <f>IF(ListaMB!D27&lt;&gt;"",ListaMB!I27,"")</f>
      </c>
      <c r="AB20" s="21">
        <f>IF(ListaMB!D27&lt;&gt;"",ListaMB!K27,0)</f>
        <v>0</v>
      </c>
      <c r="AC20">
        <f t="shared" si="2"/>
        <v>0</v>
      </c>
    </row>
    <row r="21" spans="1:29" ht="12.75">
      <c r="A21" t="s">
        <v>614</v>
      </c>
      <c r="B21" s="18">
        <f>Opci!C47</f>
        <v>3</v>
      </c>
      <c r="D21" s="231" t="s">
        <v>1090</v>
      </c>
      <c r="E21" s="232">
        <v>1</v>
      </c>
      <c r="F21" s="232">
        <f>Bilanca!I30</f>
        <v>20</v>
      </c>
      <c r="G21" s="232">
        <f>IF(Bilanca!J30=0,"",Bilanca!J30)</f>
      </c>
      <c r="H21" s="233">
        <f t="shared" si="0"/>
        <v>120478068.80000001</v>
      </c>
      <c r="I21" s="232">
        <f t="shared" si="3"/>
        <v>0</v>
      </c>
      <c r="J21" s="197">
        <f>Bilanca!K30</f>
        <v>188309208</v>
      </c>
      <c r="K21" s="198">
        <f>Bilanca!L30</f>
        <v>207040568</v>
      </c>
      <c r="L21" s="60"/>
      <c r="M21" s="62"/>
      <c r="N21" s="62"/>
      <c r="O21" s="62"/>
      <c r="P21" s="62"/>
      <c r="Q21" s="62"/>
      <c r="R21" s="62"/>
      <c r="S21" s="62"/>
      <c r="T21" s="62"/>
      <c r="U21" s="62"/>
      <c r="V21" s="62"/>
      <c r="W21" s="62"/>
      <c r="X21" s="61"/>
      <c r="Y21" s="20">
        <f>IF(ListaMB!D28&lt;&gt;"",TEXT(ListaMB!B28,"00000000"),"")</f>
      </c>
      <c r="Z21" s="20">
        <f>IF(ListaMB!D28&lt;&gt;"",ListaMB!D28,"")</f>
      </c>
      <c r="AA21" s="20">
        <f>IF(ListaMB!D28&lt;&gt;"",ListaMB!I28,"")</f>
      </c>
      <c r="AB21" s="21">
        <f>IF(ListaMB!D28&lt;&gt;"",ListaMB!K28,0)</f>
        <v>0</v>
      </c>
      <c r="AC21">
        <f t="shared" si="2"/>
        <v>0</v>
      </c>
    </row>
    <row r="22" spans="1:29" ht="12.75">
      <c r="A22" t="s">
        <v>615</v>
      </c>
      <c r="B22" s="18">
        <f>Opci!C49</f>
        <v>0</v>
      </c>
      <c r="D22" s="231" t="s">
        <v>1090</v>
      </c>
      <c r="E22" s="232">
        <v>1</v>
      </c>
      <c r="F22" s="232">
        <f>Bilanca!I31</f>
        <v>21</v>
      </c>
      <c r="G22" s="232">
        <f>IF(Bilanca!J31=0,"",Bilanca!J31)</f>
      </c>
      <c r="H22" s="233">
        <f t="shared" si="0"/>
        <v>1163055690.93</v>
      </c>
      <c r="I22" s="232">
        <f t="shared" si="3"/>
        <v>0</v>
      </c>
      <c r="J22" s="197">
        <f>Bilanca!K31</f>
        <v>1445655419</v>
      </c>
      <c r="K22" s="198">
        <f>Bilanca!L31</f>
        <v>2046352507</v>
      </c>
      <c r="L22" s="60"/>
      <c r="M22" s="62"/>
      <c r="N22" s="62"/>
      <c r="O22" s="62"/>
      <c r="P22" s="62"/>
      <c r="Q22" s="62"/>
      <c r="R22" s="62"/>
      <c r="S22" s="62"/>
      <c r="T22" s="62"/>
      <c r="U22" s="62"/>
      <c r="V22" s="62"/>
      <c r="W22" s="62"/>
      <c r="X22" s="61"/>
      <c r="Y22" s="20">
        <f>IF(ListaMB!D29&lt;&gt;"",TEXT(ListaMB!B29,"00000000"),"")</f>
      </c>
      <c r="Z22" s="20">
        <f>IF(ListaMB!D29&lt;&gt;"",ListaMB!D29,"")</f>
      </c>
      <c r="AA22" s="20">
        <f>IF(ListaMB!D29&lt;&gt;"",ListaMB!I29,"")</f>
      </c>
      <c r="AB22" s="21">
        <f>IF(ListaMB!D29&lt;&gt;"",ListaMB!K29,0)</f>
        <v>0</v>
      </c>
      <c r="AC22">
        <f t="shared" si="2"/>
        <v>0</v>
      </c>
    </row>
    <row r="23" spans="1:29" ht="12.75">
      <c r="A23" t="s">
        <v>616</v>
      </c>
      <c r="B23" s="18">
        <f>Opci!C51</f>
        <v>100</v>
      </c>
      <c r="D23" s="231" t="s">
        <v>1090</v>
      </c>
      <c r="E23" s="232">
        <v>1</v>
      </c>
      <c r="F23" s="232">
        <f>Bilanca!I32</f>
        <v>22</v>
      </c>
      <c r="G23" s="232">
        <f>IF(Bilanca!J32=0,"",Bilanca!J32)</f>
      </c>
      <c r="H23" s="233">
        <f t="shared" si="0"/>
        <v>150033509.12</v>
      </c>
      <c r="I23" s="232">
        <f t="shared" si="3"/>
        <v>0</v>
      </c>
      <c r="J23" s="197">
        <f>Bilanca!K32</f>
        <v>213659016</v>
      </c>
      <c r="K23" s="198">
        <f>Bilanca!L32</f>
        <v>234155740</v>
      </c>
      <c r="L23" s="60"/>
      <c r="M23" s="62"/>
      <c r="N23" s="62"/>
      <c r="O23" s="62"/>
      <c r="P23" s="62"/>
      <c r="Q23" s="62"/>
      <c r="R23" s="62"/>
      <c r="S23" s="62"/>
      <c r="T23" s="62"/>
      <c r="U23" s="62"/>
      <c r="V23" s="62"/>
      <c r="W23" s="62"/>
      <c r="X23" s="61"/>
      <c r="Y23" s="20">
        <f>IF(ListaMB!D30&lt;&gt;"",TEXT(ListaMB!B30,"00000000"),"")</f>
      </c>
      <c r="Z23" s="20">
        <f>IF(ListaMB!D30&lt;&gt;"",ListaMB!D30,"")</f>
      </c>
      <c r="AA23" s="20">
        <f>IF(ListaMB!D30&lt;&gt;"",ListaMB!I30,"")</f>
      </c>
      <c r="AB23" s="21">
        <f>IF(ListaMB!D30&lt;&gt;"",ListaMB!K30,0)</f>
        <v>0</v>
      </c>
      <c r="AC23">
        <f t="shared" si="2"/>
        <v>0</v>
      </c>
    </row>
    <row r="24" spans="1:29" ht="12.75">
      <c r="A24" t="s">
        <v>617</v>
      </c>
      <c r="B24" s="18">
        <f>Opci!E51</f>
        <v>0</v>
      </c>
      <c r="D24" s="231" t="s">
        <v>1090</v>
      </c>
      <c r="E24" s="232">
        <v>1</v>
      </c>
      <c r="F24" s="232">
        <f>Bilanca!I33</f>
        <v>23</v>
      </c>
      <c r="G24" s="232">
        <f>IF(Bilanca!J33=0,"",Bilanca!J33)</f>
      </c>
      <c r="H24" s="233">
        <f t="shared" si="0"/>
        <v>58437104.18</v>
      </c>
      <c r="I24" s="232">
        <f t="shared" si="3"/>
        <v>0</v>
      </c>
      <c r="J24" s="197">
        <f>Bilanca!K33</f>
        <v>75984902</v>
      </c>
      <c r="K24" s="198">
        <f>Bilanca!L33</f>
        <v>89044732</v>
      </c>
      <c r="L24" s="60"/>
      <c r="M24" s="62"/>
      <c r="N24" s="62"/>
      <c r="O24" s="62"/>
      <c r="P24" s="62"/>
      <c r="Q24" s="62"/>
      <c r="R24" s="62"/>
      <c r="S24" s="62"/>
      <c r="T24" s="62"/>
      <c r="U24" s="62"/>
      <c r="V24" s="62"/>
      <c r="W24" s="62"/>
      <c r="X24" s="61"/>
      <c r="Y24" s="20">
        <f>IF(ListaMB!D31&lt;&gt;"",TEXT(ListaMB!B31,"00000000"),"")</f>
      </c>
      <c r="Z24" s="20">
        <f>IF(ListaMB!D31&lt;&gt;"",ListaMB!D31,"")</f>
      </c>
      <c r="AA24" s="20">
        <f>IF(ListaMB!D31&lt;&gt;"",ListaMB!I31,"")</f>
      </c>
      <c r="AB24" s="21">
        <f>IF(ListaMB!D31&lt;&gt;"",ListaMB!K31,0)</f>
        <v>0</v>
      </c>
      <c r="AC24">
        <f t="shared" si="2"/>
        <v>0</v>
      </c>
    </row>
    <row r="25" spans="1:29" ht="12.75">
      <c r="A25" t="s">
        <v>618</v>
      </c>
      <c r="B25" s="18">
        <f>Opci!C53</f>
        <v>281</v>
      </c>
      <c r="D25" s="231" t="s">
        <v>1090</v>
      </c>
      <c r="E25" s="232">
        <v>1</v>
      </c>
      <c r="F25" s="232">
        <f>Bilanca!I34</f>
        <v>24</v>
      </c>
      <c r="G25" s="232">
        <f>IF(Bilanca!J34=0,"",Bilanca!J34)</f>
      </c>
      <c r="H25" s="233">
        <f t="shared" si="0"/>
        <v>1104555737.04</v>
      </c>
      <c r="I25" s="232">
        <f t="shared" si="3"/>
        <v>0</v>
      </c>
      <c r="J25" s="197">
        <f>Bilanca!K34</f>
        <v>1156011501</v>
      </c>
      <c r="K25" s="198">
        <f>Bilanca!L34</f>
        <v>1723152035</v>
      </c>
      <c r="L25" s="60"/>
      <c r="M25" s="62"/>
      <c r="N25" s="62"/>
      <c r="O25" s="62"/>
      <c r="P25" s="62"/>
      <c r="Q25" s="62"/>
      <c r="R25" s="62"/>
      <c r="S25" s="62"/>
      <c r="T25" s="62"/>
      <c r="U25" s="62"/>
      <c r="V25" s="62"/>
      <c r="W25" s="62"/>
      <c r="X25" s="61"/>
      <c r="Y25" s="20">
        <f>IF(ListaMB!D32&lt;&gt;"",TEXT(ListaMB!B32,"00000000"),"")</f>
      </c>
      <c r="Z25" s="20">
        <f>IF(ListaMB!D32&lt;&gt;"",ListaMB!D32,"")</f>
      </c>
      <c r="AA25" s="20">
        <f>IF(ListaMB!D32&lt;&gt;"",ListaMB!I32,"")</f>
      </c>
      <c r="AB25" s="21">
        <f>IF(ListaMB!D32&lt;&gt;"",ListaMB!K32,0)</f>
        <v>0</v>
      </c>
      <c r="AC25">
        <f t="shared" si="2"/>
        <v>0</v>
      </c>
    </row>
    <row r="26" spans="1:29" ht="12.75">
      <c r="A26" t="s">
        <v>619</v>
      </c>
      <c r="B26" s="18">
        <f>Opci!E53</f>
        <v>278</v>
      </c>
      <c r="D26" s="231" t="s">
        <v>1090</v>
      </c>
      <c r="E26" s="232">
        <v>1</v>
      </c>
      <c r="F26" s="232">
        <f>Bilanca!I35</f>
        <v>25</v>
      </c>
      <c r="G26" s="232">
        <f>IF(Bilanca!J35=0,"",Bilanca!J35)</f>
      </c>
      <c r="H26" s="233">
        <f t="shared" si="0"/>
        <v>17115682.5</v>
      </c>
      <c r="I26" s="232">
        <f t="shared" si="3"/>
        <v>0</v>
      </c>
      <c r="J26" s="197">
        <f>Bilanca!K35</f>
        <v>22636872</v>
      </c>
      <c r="K26" s="198">
        <f>Bilanca!L35</f>
        <v>22912929</v>
      </c>
      <c r="L26" s="60"/>
      <c r="M26" s="62"/>
      <c r="N26" s="62"/>
      <c r="O26" s="62"/>
      <c r="P26" s="62"/>
      <c r="Q26" s="62"/>
      <c r="R26" s="62"/>
      <c r="S26" s="62"/>
      <c r="T26" s="62"/>
      <c r="U26" s="62"/>
      <c r="V26" s="62"/>
      <c r="W26" s="62"/>
      <c r="X26" s="61"/>
      <c r="Y26" s="20">
        <f>IF(ListaMB!D33&lt;&gt;"",TEXT(ListaMB!B33,"00000000"),"")</f>
      </c>
      <c r="Z26" s="20">
        <f>IF(ListaMB!D33&lt;&gt;"",ListaMB!D33,"")</f>
      </c>
      <c r="AA26" s="20">
        <f>IF(ListaMB!D33&lt;&gt;"",ListaMB!I33,"")</f>
      </c>
      <c r="AB26" s="21">
        <f>IF(ListaMB!D33&lt;&gt;"",ListaMB!K33,0)</f>
        <v>0</v>
      </c>
      <c r="AC26">
        <f t="shared" si="2"/>
        <v>0</v>
      </c>
    </row>
    <row r="27" spans="1:29" ht="12.75">
      <c r="A27" t="s">
        <v>620</v>
      </c>
      <c r="B27" s="18">
        <f>Opci!C55</f>
        <v>265</v>
      </c>
      <c r="D27" s="231" t="s">
        <v>1090</v>
      </c>
      <c r="E27" s="232">
        <v>1</v>
      </c>
      <c r="F27" s="232">
        <f>Bilanca!I36</f>
        <v>26</v>
      </c>
      <c r="G27" s="232">
        <f>IF(Bilanca!J36=0,"",Bilanca!J36)</f>
      </c>
      <c r="H27" s="233">
        <f t="shared" si="0"/>
        <v>17800309.8</v>
      </c>
      <c r="I27" s="232">
        <f t="shared" si="3"/>
        <v>0</v>
      </c>
      <c r="J27" s="197">
        <f>Bilanca!K36</f>
        <v>22636872</v>
      </c>
      <c r="K27" s="198">
        <f>Bilanca!L36</f>
        <v>22912929</v>
      </c>
      <c r="L27" s="60"/>
      <c r="M27" s="62"/>
      <c r="N27" s="62"/>
      <c r="O27" s="62"/>
      <c r="P27" s="62"/>
      <c r="Q27" s="62"/>
      <c r="R27" s="62"/>
      <c r="S27" s="62"/>
      <c r="T27" s="62"/>
      <c r="U27" s="62"/>
      <c r="V27" s="62"/>
      <c r="W27" s="62"/>
      <c r="X27" s="61"/>
      <c r="Y27" s="20">
        <f>IF(ListaMB!D34&lt;&gt;"",TEXT(ListaMB!B34,"00000000"),"")</f>
      </c>
      <c r="Z27" s="20">
        <f>IF(ListaMB!D34&lt;&gt;"",ListaMB!D34,"")</f>
      </c>
      <c r="AA27" s="20">
        <f>IF(ListaMB!D34&lt;&gt;"",ListaMB!I34,"")</f>
      </c>
      <c r="AB27" s="21">
        <f>IF(ListaMB!D34&lt;&gt;"",ListaMB!K34,0)</f>
        <v>0</v>
      </c>
      <c r="AC27">
        <f t="shared" si="2"/>
        <v>0</v>
      </c>
    </row>
    <row r="28" spans="1:29" ht="12.75">
      <c r="A28" t="s">
        <v>621</v>
      </c>
      <c r="B28" s="18">
        <f>Opci!E55</f>
        <v>263</v>
      </c>
      <c r="D28" s="231" t="s">
        <v>1090</v>
      </c>
      <c r="E28" s="232">
        <v>1</v>
      </c>
      <c r="F28" s="232">
        <f>Bilanca!I37</f>
        <v>27</v>
      </c>
      <c r="G28" s="232">
        <f>IF(Bilanca!J37=0,"",Bilanca!J37)</f>
      </c>
      <c r="H28" s="233">
        <f t="shared" si="0"/>
        <v>0</v>
      </c>
      <c r="I28" s="232">
        <f t="shared" si="3"/>
        <v>0</v>
      </c>
      <c r="J28" s="197">
        <f>Bilanca!K37</f>
        <v>0</v>
      </c>
      <c r="K28" s="198">
        <f>Bilanca!L37</f>
        <v>0</v>
      </c>
      <c r="L28" s="60"/>
      <c r="M28" s="62"/>
      <c r="N28" s="62"/>
      <c r="O28" s="62"/>
      <c r="P28" s="62"/>
      <c r="Q28" s="62"/>
      <c r="R28" s="62"/>
      <c r="S28" s="62"/>
      <c r="T28" s="62"/>
      <c r="U28" s="62"/>
      <c r="V28" s="62"/>
      <c r="W28" s="62"/>
      <c r="X28" s="61"/>
      <c r="Y28" s="20">
        <f>IF(ListaMB!D35&lt;&gt;"",TEXT(ListaMB!B35,"00000000"),"")</f>
      </c>
      <c r="Z28" s="20">
        <f>IF(ListaMB!D35&lt;&gt;"",ListaMB!D35,"")</f>
      </c>
      <c r="AA28" s="20">
        <f>IF(ListaMB!D35&lt;&gt;"",ListaMB!I35,"")</f>
      </c>
      <c r="AB28" s="21">
        <f>IF(ListaMB!D35&lt;&gt;"",ListaMB!K35,0)</f>
        <v>0</v>
      </c>
      <c r="AC28">
        <f t="shared" si="2"/>
        <v>0</v>
      </c>
    </row>
    <row r="29" spans="1:29" ht="12.75">
      <c r="A29" t="s">
        <v>622</v>
      </c>
      <c r="B29" s="18">
        <f>Opci!C57</f>
        <v>12</v>
      </c>
      <c r="D29" s="231" t="s">
        <v>1090</v>
      </c>
      <c r="E29" s="232">
        <v>1</v>
      </c>
      <c r="F29" s="232">
        <f>Bilanca!I38</f>
        <v>28</v>
      </c>
      <c r="G29" s="232">
        <f>IF(Bilanca!J38=0,"",Bilanca!J38)</f>
      </c>
      <c r="H29" s="233">
        <f t="shared" si="0"/>
        <v>52713.64</v>
      </c>
      <c r="I29" s="232">
        <f t="shared" si="3"/>
        <v>0</v>
      </c>
      <c r="J29" s="197">
        <f>Bilanca!K38</f>
        <v>106299</v>
      </c>
      <c r="K29" s="198">
        <f>Bilanca!L38</f>
        <v>40982</v>
      </c>
      <c r="L29" s="60"/>
      <c r="M29" s="62"/>
      <c r="N29" s="62"/>
      <c r="O29" s="62"/>
      <c r="P29" s="62"/>
      <c r="Q29" s="62"/>
      <c r="R29" s="62"/>
      <c r="S29" s="62"/>
      <c r="T29" s="62"/>
      <c r="U29" s="62"/>
      <c r="V29" s="62"/>
      <c r="W29" s="62"/>
      <c r="X29" s="61"/>
      <c r="Y29" s="20">
        <f>IF(ListaMB!D36&lt;&gt;"",TEXT(ListaMB!B36,"00000000"),"")</f>
      </c>
      <c r="Z29" s="20">
        <f>IF(ListaMB!D36&lt;&gt;"",ListaMB!D36,"")</f>
      </c>
      <c r="AA29" s="20">
        <f>IF(ListaMB!D36&lt;&gt;"",ListaMB!I36,"")</f>
      </c>
      <c r="AB29" s="21">
        <f>IF(ListaMB!D36&lt;&gt;"",ListaMB!K36,0)</f>
        <v>0</v>
      </c>
      <c r="AC29">
        <f t="shared" si="2"/>
        <v>0</v>
      </c>
    </row>
    <row r="30" spans="1:29" ht="12.75">
      <c r="A30" t="s">
        <v>623</v>
      </c>
      <c r="B30" s="18">
        <f>Opci!E57</f>
        <v>12</v>
      </c>
      <c r="D30" s="231" t="s">
        <v>1090</v>
      </c>
      <c r="E30" s="232">
        <v>1</v>
      </c>
      <c r="F30" s="232">
        <f>Bilanca!I39</f>
        <v>29</v>
      </c>
      <c r="G30" s="232">
        <f>IF(Bilanca!J39=0,"",Bilanca!J39)</f>
      </c>
      <c r="H30" s="233">
        <f t="shared" si="0"/>
        <v>0</v>
      </c>
      <c r="I30" s="232">
        <f t="shared" si="3"/>
        <v>0</v>
      </c>
      <c r="J30" s="197">
        <f>Bilanca!K39</f>
        <v>0</v>
      </c>
      <c r="K30" s="198">
        <f>Bilanca!L39</f>
        <v>0</v>
      </c>
      <c r="L30" s="60"/>
      <c r="M30" s="62"/>
      <c r="N30" s="62"/>
      <c r="O30" s="62"/>
      <c r="P30" s="62"/>
      <c r="Q30" s="62"/>
      <c r="R30" s="62"/>
      <c r="S30" s="62"/>
      <c r="T30" s="62"/>
      <c r="U30" s="62"/>
      <c r="V30" s="62"/>
      <c r="W30" s="62"/>
      <c r="X30" s="61"/>
      <c r="Y30" s="20">
        <f>IF(ListaMB!D37&lt;&gt;"",TEXT(ListaMB!B37,"00000000"),"")</f>
      </c>
      <c r="Z30" s="20">
        <f>IF(ListaMB!D37&lt;&gt;"",ListaMB!D37,"")</f>
      </c>
      <c r="AA30" s="20">
        <f>IF(ListaMB!D37&lt;&gt;"",ListaMB!I37,"")</f>
      </c>
      <c r="AB30" s="21">
        <f>IF(ListaMB!D37&lt;&gt;"",ListaMB!K37,0)</f>
        <v>0</v>
      </c>
      <c r="AC30">
        <f t="shared" si="2"/>
        <v>0</v>
      </c>
    </row>
    <row r="31" spans="1:29" ht="12.75">
      <c r="A31" t="s">
        <v>624</v>
      </c>
      <c r="B31" s="18">
        <f>Opci!G59</f>
        <v>0</v>
      </c>
      <c r="D31" s="231" t="s">
        <v>1090</v>
      </c>
      <c r="E31" s="232">
        <v>1</v>
      </c>
      <c r="F31" s="232">
        <f>Bilanca!I40</f>
        <v>30</v>
      </c>
      <c r="G31" s="232">
        <f>IF(Bilanca!J40=0,"",Bilanca!J40)</f>
      </c>
      <c r="H31" s="233">
        <f t="shared" si="0"/>
        <v>0</v>
      </c>
      <c r="I31" s="232">
        <f t="shared" si="3"/>
        <v>0</v>
      </c>
      <c r="J31" s="197">
        <f>Bilanca!K40</f>
        <v>0</v>
      </c>
      <c r="K31" s="198">
        <f>Bilanca!L40</f>
        <v>0</v>
      </c>
      <c r="L31" s="60"/>
      <c r="M31" s="62"/>
      <c r="N31" s="62"/>
      <c r="O31" s="62"/>
      <c r="P31" s="62"/>
      <c r="Q31" s="62"/>
      <c r="R31" s="62"/>
      <c r="S31" s="62"/>
      <c r="T31" s="62"/>
      <c r="U31" s="62"/>
      <c r="V31" s="62"/>
      <c r="W31" s="62"/>
      <c r="X31" s="61"/>
      <c r="Y31" s="20">
        <f>IF(ListaMB!D38&lt;&gt;"",TEXT(ListaMB!B38,"00000000"),"")</f>
      </c>
      <c r="Z31" s="20">
        <f>IF(ListaMB!D38&lt;&gt;"",ListaMB!D38,"")</f>
      </c>
      <c r="AA31" s="20">
        <f>IF(ListaMB!D38&lt;&gt;"",ListaMB!I38,"")</f>
      </c>
      <c r="AB31" s="21">
        <f>IF(ListaMB!D38&lt;&gt;"",ListaMB!K38,0)</f>
        <v>0</v>
      </c>
      <c r="AC31">
        <f t="shared" si="2"/>
        <v>0</v>
      </c>
    </row>
    <row r="32" spans="1:29" ht="12.75">
      <c r="A32" t="s">
        <v>625</v>
      </c>
      <c r="B32" s="18">
        <f>Opci!J59</f>
        <v>0</v>
      </c>
      <c r="D32" s="231" t="s">
        <v>1090</v>
      </c>
      <c r="E32" s="232">
        <v>1</v>
      </c>
      <c r="F32" s="232">
        <f>Bilanca!I41</f>
        <v>31</v>
      </c>
      <c r="G32" s="232">
        <f>IF(Bilanca!J41=0,"",Bilanca!J41)</f>
      </c>
      <c r="H32" s="233">
        <f t="shared" si="0"/>
        <v>0</v>
      </c>
      <c r="I32" s="232">
        <f t="shared" si="3"/>
        <v>0</v>
      </c>
      <c r="J32" s="197">
        <f>Bilanca!K41</f>
        <v>0</v>
      </c>
      <c r="K32" s="198">
        <f>Bilanca!L41</f>
        <v>0</v>
      </c>
      <c r="L32" s="60"/>
      <c r="M32" s="62"/>
      <c r="N32" s="62"/>
      <c r="O32" s="62"/>
      <c r="P32" s="62"/>
      <c r="Q32" s="62"/>
      <c r="R32" s="62"/>
      <c r="S32" s="62"/>
      <c r="T32" s="62"/>
      <c r="U32" s="62"/>
      <c r="V32" s="62"/>
      <c r="W32" s="62"/>
      <c r="X32" s="61"/>
      <c r="Y32" s="20">
        <f>IF(ListaMB!D39&lt;&gt;"",TEXT(ListaMB!B39,"00000000"),"")</f>
      </c>
      <c r="Z32" s="20">
        <f>IF(ListaMB!D39&lt;&gt;"",ListaMB!D39,"")</f>
      </c>
      <c r="AA32" s="20">
        <f>IF(ListaMB!D39&lt;&gt;"",ListaMB!I39,"")</f>
      </c>
      <c r="AB32" s="21">
        <f>IF(ListaMB!D39&lt;&gt;"",ListaMB!K39,0)</f>
        <v>0</v>
      </c>
      <c r="AC32">
        <f t="shared" si="2"/>
        <v>0</v>
      </c>
    </row>
    <row r="33" spans="1:29" ht="12.75">
      <c r="A33" t="s">
        <v>626</v>
      </c>
      <c r="B33" s="18">
        <f>Opci!M59</f>
        <v>0</v>
      </c>
      <c r="D33" s="231" t="s">
        <v>1090</v>
      </c>
      <c r="E33" s="232">
        <v>1</v>
      </c>
      <c r="F33" s="232">
        <f>Bilanca!I42</f>
        <v>32</v>
      </c>
      <c r="G33" s="232">
        <f>IF(Bilanca!J42=0,"",Bilanca!J42)</f>
      </c>
      <c r="H33" s="233">
        <f t="shared" si="0"/>
        <v>0</v>
      </c>
      <c r="I33" s="232">
        <f t="shared" si="3"/>
        <v>0</v>
      </c>
      <c r="J33" s="197">
        <f>Bilanca!K42</f>
        <v>0</v>
      </c>
      <c r="K33" s="198">
        <f>Bilanca!L42</f>
        <v>0</v>
      </c>
      <c r="L33" s="60"/>
      <c r="M33" s="62"/>
      <c r="N33" s="62"/>
      <c r="O33" s="62"/>
      <c r="P33" s="62"/>
      <c r="Q33" s="62"/>
      <c r="R33" s="62"/>
      <c r="S33" s="62"/>
      <c r="T33" s="62"/>
      <c r="U33" s="62"/>
      <c r="V33" s="62"/>
      <c r="W33" s="62"/>
      <c r="X33" s="61"/>
      <c r="Y33" s="20">
        <f>IF(ListaMB!D40&lt;&gt;"",TEXT(ListaMB!B40,"00000000"),"")</f>
      </c>
      <c r="Z33" s="20">
        <f>IF(ListaMB!D40&lt;&gt;"",ListaMB!D40,"")</f>
      </c>
      <c r="AA33" s="20">
        <f>IF(ListaMB!D40&lt;&gt;"",ListaMB!I40,"")</f>
      </c>
      <c r="AB33" s="21">
        <f>IF(ListaMB!D40&lt;&gt;"",ListaMB!K40,0)</f>
        <v>0</v>
      </c>
      <c r="AC33">
        <f t="shared" si="2"/>
        <v>0</v>
      </c>
    </row>
    <row r="34" spans="1:29" ht="12.75">
      <c r="A34" t="s">
        <v>627</v>
      </c>
      <c r="B34" s="18">
        <f>Opci!G61</f>
        <v>0</v>
      </c>
      <c r="D34" s="231" t="s">
        <v>1090</v>
      </c>
      <c r="E34" s="232">
        <v>1</v>
      </c>
      <c r="F34" s="232">
        <f>Bilanca!I43</f>
        <v>33</v>
      </c>
      <c r="G34" s="232">
        <f>IF(Bilanca!J43=0,"",Bilanca!J43)</f>
      </c>
      <c r="H34" s="233">
        <f t="shared" si="0"/>
        <v>0</v>
      </c>
      <c r="I34" s="232">
        <f t="shared" si="3"/>
        <v>0</v>
      </c>
      <c r="J34" s="197">
        <f>Bilanca!K43</f>
        <v>0</v>
      </c>
      <c r="K34" s="198">
        <f>Bilanca!L43</f>
        <v>0</v>
      </c>
      <c r="L34" s="60"/>
      <c r="M34" s="62"/>
      <c r="N34" s="62"/>
      <c r="O34" s="62"/>
      <c r="P34" s="62"/>
      <c r="Q34" s="62"/>
      <c r="R34" s="62"/>
      <c r="S34" s="62"/>
      <c r="T34" s="62"/>
      <c r="U34" s="62"/>
      <c r="V34" s="62"/>
      <c r="W34" s="62"/>
      <c r="X34" s="61"/>
      <c r="Y34" s="20">
        <f>IF(ListaMB!D41&lt;&gt;"",TEXT(ListaMB!B41,"00000000"),"")</f>
      </c>
      <c r="Z34" s="20">
        <f>IF(ListaMB!D41&lt;&gt;"",ListaMB!D41,"")</f>
      </c>
      <c r="AA34" s="20">
        <f>IF(ListaMB!D41&lt;&gt;"",ListaMB!I41,"")</f>
      </c>
      <c r="AB34" s="21">
        <f>IF(ListaMB!D41&lt;&gt;"",ListaMB!K41,0)</f>
        <v>0</v>
      </c>
      <c r="AC34">
        <f t="shared" si="2"/>
        <v>0</v>
      </c>
    </row>
    <row r="35" spans="1:29" ht="12.75">
      <c r="A35" t="s">
        <v>628</v>
      </c>
      <c r="B35" s="18">
        <f>Opci!J61</f>
        <v>0</v>
      </c>
      <c r="D35" s="231" t="s">
        <v>1090</v>
      </c>
      <c r="E35" s="232">
        <v>1</v>
      </c>
      <c r="F35" s="232">
        <f>Bilanca!I44</f>
        <v>34</v>
      </c>
      <c r="G35" s="232">
        <f>IF(Bilanca!J44=0,"",Bilanca!J44)</f>
      </c>
      <c r="H35" s="233">
        <f t="shared" si="0"/>
        <v>83051661.28</v>
      </c>
      <c r="I35" s="232">
        <f t="shared" si="3"/>
        <v>0</v>
      </c>
      <c r="J35" s="197">
        <f>Bilanca!K44</f>
        <v>72376630</v>
      </c>
      <c r="K35" s="198">
        <f>Bilanca!L44</f>
        <v>85946481</v>
      </c>
      <c r="L35" s="60"/>
      <c r="M35" s="62"/>
      <c r="N35" s="62"/>
      <c r="O35" s="62"/>
      <c r="P35" s="62"/>
      <c r="Q35" s="62"/>
      <c r="R35" s="62"/>
      <c r="S35" s="62"/>
      <c r="T35" s="62"/>
      <c r="U35" s="62"/>
      <c r="V35" s="62"/>
      <c r="W35" s="62"/>
      <c r="X35" s="61"/>
      <c r="Y35" s="20">
        <f>IF(ListaMB!D42&lt;&gt;"",TEXT(ListaMB!B42,"00000000"),"")</f>
      </c>
      <c r="Z35" s="20">
        <f>IF(ListaMB!D42&lt;&gt;"",ListaMB!D42,"")</f>
      </c>
      <c r="AA35" s="20">
        <f>IF(ListaMB!D42&lt;&gt;"",ListaMB!I42,"")</f>
      </c>
      <c r="AB35" s="21">
        <f>IF(ListaMB!D42&lt;&gt;"",ListaMB!K42,0)</f>
        <v>0</v>
      </c>
      <c r="AC35">
        <f t="shared" si="2"/>
        <v>0</v>
      </c>
    </row>
    <row r="36" spans="1:29" ht="12.75">
      <c r="A36" t="s">
        <v>629</v>
      </c>
      <c r="B36" s="18">
        <f>Opci!M61</f>
        <v>0</v>
      </c>
      <c r="D36" s="231" t="s">
        <v>1090</v>
      </c>
      <c r="E36" s="232">
        <v>1</v>
      </c>
      <c r="F36" s="232">
        <f>Bilanca!I45</f>
        <v>35</v>
      </c>
      <c r="G36" s="232">
        <f>IF(Bilanca!J45=0,"",Bilanca!J45)</f>
      </c>
      <c r="H36" s="233">
        <f t="shared" si="0"/>
        <v>2320759496.3</v>
      </c>
      <c r="I36" s="232">
        <f t="shared" si="3"/>
        <v>0</v>
      </c>
      <c r="J36" s="197">
        <f>Bilanca!K45</f>
        <v>1764084428</v>
      </c>
      <c r="K36" s="198">
        <f>Bilanca!L45</f>
        <v>2433328495</v>
      </c>
      <c r="L36" s="60"/>
      <c r="M36" s="62"/>
      <c r="N36" s="62"/>
      <c r="O36" s="62"/>
      <c r="P36" s="62"/>
      <c r="Q36" s="62"/>
      <c r="R36" s="62"/>
      <c r="S36" s="62"/>
      <c r="T36" s="62"/>
      <c r="U36" s="62"/>
      <c r="V36" s="62"/>
      <c r="W36" s="62"/>
      <c r="X36" s="61"/>
      <c r="Y36" s="20">
        <f>IF(ListaMB!D43&lt;&gt;"",TEXT(ListaMB!B43,"00000000"),"")</f>
      </c>
      <c r="Z36" s="20">
        <f>IF(ListaMB!D43&lt;&gt;"",ListaMB!D43,"")</f>
      </c>
      <c r="AA36" s="20">
        <f>IF(ListaMB!D43&lt;&gt;"",ListaMB!I43,"")</f>
      </c>
      <c r="AB36" s="21">
        <f>IF(ListaMB!D43&lt;&gt;"",ListaMB!K43,0)</f>
        <v>0</v>
      </c>
      <c r="AC36">
        <f t="shared" si="2"/>
        <v>0</v>
      </c>
    </row>
    <row r="37" spans="1:29" ht="12.75">
      <c r="A37" t="s">
        <v>630</v>
      </c>
      <c r="B37" s="18" t="s">
        <v>336</v>
      </c>
      <c r="D37" s="231" t="s">
        <v>1090</v>
      </c>
      <c r="E37" s="232">
        <v>1</v>
      </c>
      <c r="F37" s="232">
        <f>Bilanca!I47</f>
        <v>36</v>
      </c>
      <c r="G37" s="232">
        <f>IF(Bilanca!J47=0,"",Bilanca!J47)</f>
      </c>
      <c r="H37" s="233">
        <f t="shared" si="0"/>
        <v>512568000</v>
      </c>
      <c r="I37" s="232">
        <f t="shared" si="3"/>
        <v>0</v>
      </c>
      <c r="J37" s="197">
        <f>Bilanca!K47</f>
        <v>474600000</v>
      </c>
      <c r="K37" s="198">
        <f>Bilanca!L47</f>
        <v>474600000</v>
      </c>
      <c r="L37" s="60"/>
      <c r="M37" s="62"/>
      <c r="N37" s="62"/>
      <c r="O37" s="62"/>
      <c r="P37" s="62"/>
      <c r="Q37" s="62"/>
      <c r="R37" s="62"/>
      <c r="S37" s="62"/>
      <c r="T37" s="62"/>
      <c r="U37" s="62"/>
      <c r="V37" s="62"/>
      <c r="W37" s="62"/>
      <c r="X37" s="61"/>
      <c r="Y37" s="20">
        <f>IF(ListaMB!D44&lt;&gt;"",TEXT(ListaMB!B44,"00000000"),"")</f>
      </c>
      <c r="Z37" s="20">
        <f>IF(ListaMB!D44&lt;&gt;"",ListaMB!D44,"")</f>
      </c>
      <c r="AA37" s="20">
        <f>IF(ListaMB!D44&lt;&gt;"",ListaMB!I44,"")</f>
      </c>
      <c r="AB37" s="21">
        <f>IF(ListaMB!D44&lt;&gt;"",ListaMB!K44,0)</f>
        <v>0</v>
      </c>
      <c r="AC37">
        <f t="shared" si="2"/>
        <v>0</v>
      </c>
    </row>
    <row r="38" spans="1:29" ht="12.75">
      <c r="A38" t="s">
        <v>631</v>
      </c>
      <c r="B38" s="18">
        <f>TRIM(Opci!F63)</f>
      </c>
      <c r="D38" s="231" t="s">
        <v>1090</v>
      </c>
      <c r="E38" s="232">
        <v>1</v>
      </c>
      <c r="F38" s="232">
        <f>Bilanca!I48</f>
        <v>37</v>
      </c>
      <c r="G38" s="232">
        <f>IF(Bilanca!J48=0,"",Bilanca!J48)</f>
      </c>
      <c r="H38" s="233">
        <f t="shared" si="0"/>
        <v>-56569242.428</v>
      </c>
      <c r="I38" s="232">
        <f t="shared" si="3"/>
        <v>0.4000000059604645</v>
      </c>
      <c r="J38" s="197">
        <f>Bilanca!K48</f>
        <v>-103600924.4</v>
      </c>
      <c r="K38" s="198">
        <f>Bilanca!L48</f>
        <v>-24644460</v>
      </c>
      <c r="L38" s="60"/>
      <c r="M38" s="62"/>
      <c r="N38" s="62"/>
      <c r="O38" s="62"/>
      <c r="P38" s="62"/>
      <c r="Q38" s="62"/>
      <c r="R38" s="62"/>
      <c r="S38" s="62"/>
      <c r="T38" s="62"/>
      <c r="U38" s="62"/>
      <c r="V38" s="62"/>
      <c r="W38" s="62"/>
      <c r="X38" s="61"/>
      <c r="Y38" s="20">
        <f>IF(ListaMB!D45&lt;&gt;"",TEXT(ListaMB!B45,"00000000"),"")</f>
      </c>
      <c r="Z38" s="20">
        <f>IF(ListaMB!D45&lt;&gt;"",ListaMB!D45,"")</f>
      </c>
      <c r="AA38" s="20">
        <f>IF(ListaMB!D45&lt;&gt;"",ListaMB!I45,"")</f>
      </c>
      <c r="AB38" s="21">
        <f>IF(ListaMB!D45&lt;&gt;"",ListaMB!K45,0)</f>
        <v>0</v>
      </c>
      <c r="AC38">
        <f t="shared" si="2"/>
        <v>0</v>
      </c>
    </row>
    <row r="39" spans="1:29" ht="12.75">
      <c r="A39" t="s">
        <v>632</v>
      </c>
      <c r="B39" s="18" t="str">
        <f>TRIM(Opci!C65)</f>
        <v>Monika Rajković</v>
      </c>
      <c r="D39" s="231" t="s">
        <v>1090</v>
      </c>
      <c r="E39" s="232">
        <v>1</v>
      </c>
      <c r="F39" s="232">
        <f>Bilanca!I49</f>
        <v>38</v>
      </c>
      <c r="G39" s="232">
        <f>IF(Bilanca!J49=0,"",Bilanca!J49)</f>
      </c>
      <c r="H39" s="233">
        <f t="shared" si="0"/>
        <v>-252830896.7</v>
      </c>
      <c r="I39" s="232">
        <f t="shared" si="3"/>
        <v>0</v>
      </c>
      <c r="J39" s="197">
        <f>Bilanca!K49</f>
        <v>-152714205</v>
      </c>
      <c r="K39" s="198">
        <f>Bilanca!L49</f>
        <v>-256315130</v>
      </c>
      <c r="L39" s="60"/>
      <c r="M39" s="62"/>
      <c r="N39" s="62"/>
      <c r="O39" s="62"/>
      <c r="P39" s="62"/>
      <c r="Q39" s="62"/>
      <c r="R39" s="62"/>
      <c r="S39" s="62"/>
      <c r="T39" s="62"/>
      <c r="U39" s="62"/>
      <c r="V39" s="62"/>
      <c r="W39" s="62"/>
      <c r="X39" s="61"/>
      <c r="Y39" s="20">
        <f>IF(ListaMB!D46&lt;&gt;"",TEXT(ListaMB!B46,"00000000"),"")</f>
      </c>
      <c r="Z39" s="20">
        <f>IF(ListaMB!D46&lt;&gt;"",ListaMB!D46,"")</f>
      </c>
      <c r="AA39" s="20">
        <f>IF(ListaMB!D46&lt;&gt;"",ListaMB!I46,"")</f>
      </c>
      <c r="AB39" s="21">
        <f>IF(ListaMB!D46&lt;&gt;"",ListaMB!K46,0)</f>
        <v>0</v>
      </c>
      <c r="AC39">
        <f t="shared" si="2"/>
        <v>0</v>
      </c>
    </row>
    <row r="40" spans="1:29" ht="12.75">
      <c r="A40" t="s">
        <v>633</v>
      </c>
      <c r="B40" s="18" t="str">
        <f>TRIM(Opci!C67)</f>
        <v>012391679</v>
      </c>
      <c r="D40" s="231" t="s">
        <v>1090</v>
      </c>
      <c r="E40" s="232">
        <v>1</v>
      </c>
      <c r="F40" s="232">
        <f>Bilanca!I50</f>
        <v>39</v>
      </c>
      <c r="G40" s="232">
        <f>IF(Bilanca!J50=0,"",Bilanca!J50)</f>
      </c>
      <c r="H40" s="233">
        <f t="shared" si="0"/>
        <v>0</v>
      </c>
      <c r="I40" s="232">
        <f t="shared" si="3"/>
        <v>0</v>
      </c>
      <c r="J40" s="197">
        <f>Bilanca!K50</f>
        <v>0</v>
      </c>
      <c r="K40" s="198">
        <f>Bilanca!L50</f>
        <v>0</v>
      </c>
      <c r="L40" s="60"/>
      <c r="M40" s="62"/>
      <c r="N40" s="62"/>
      <c r="O40" s="62"/>
      <c r="P40" s="62"/>
      <c r="Q40" s="62"/>
      <c r="R40" s="62"/>
      <c r="S40" s="62"/>
      <c r="T40" s="62"/>
      <c r="U40" s="62"/>
      <c r="V40" s="62"/>
      <c r="W40" s="62"/>
      <c r="X40" s="61"/>
      <c r="Y40" s="20">
        <f>IF(ListaMB!D47&lt;&gt;"",TEXT(ListaMB!B47,"00000000"),"")</f>
      </c>
      <c r="Z40" s="20">
        <f>IF(ListaMB!D47&lt;&gt;"",ListaMB!D47,"")</f>
      </c>
      <c r="AA40" s="20">
        <f>IF(ListaMB!D47&lt;&gt;"",ListaMB!I47,"")</f>
      </c>
      <c r="AB40" s="21">
        <f>IF(ListaMB!D47&lt;&gt;"",ListaMB!K47,0)</f>
        <v>0</v>
      </c>
      <c r="AC40">
        <f t="shared" si="2"/>
        <v>0</v>
      </c>
    </row>
    <row r="41" spans="1:29" ht="12.75">
      <c r="A41" t="s">
        <v>634</v>
      </c>
      <c r="B41" s="18" t="str">
        <f>TRIM(Opci!H67)</f>
        <v>012312888</v>
      </c>
      <c r="D41" s="231" t="s">
        <v>1090</v>
      </c>
      <c r="E41" s="232">
        <v>1</v>
      </c>
      <c r="F41" s="232">
        <f>Bilanca!I51</f>
        <v>40</v>
      </c>
      <c r="G41" s="232">
        <f>IF(Bilanca!J51=0,"",Bilanca!J51)</f>
      </c>
      <c r="H41" s="233">
        <f t="shared" si="0"/>
        <v>0</v>
      </c>
      <c r="I41" s="232">
        <f t="shared" si="3"/>
        <v>0</v>
      </c>
      <c r="J41" s="197">
        <f>Bilanca!K51</f>
        <v>0</v>
      </c>
      <c r="K41" s="198">
        <f>Bilanca!L51</f>
        <v>0</v>
      </c>
      <c r="L41" s="60"/>
      <c r="M41" s="62"/>
      <c r="N41" s="62"/>
      <c r="O41" s="62"/>
      <c r="P41" s="62"/>
      <c r="Q41" s="62"/>
      <c r="R41" s="62"/>
      <c r="S41" s="62"/>
      <c r="T41" s="62"/>
      <c r="U41" s="62"/>
      <c r="V41" s="62"/>
      <c r="W41" s="62"/>
      <c r="X41" s="61"/>
      <c r="Y41" s="20">
        <f>IF(ListaMB!D48&lt;&gt;"",TEXT(ListaMB!B48,"00000000"),"")</f>
      </c>
      <c r="Z41" s="20">
        <f>IF(ListaMB!D48&lt;&gt;"",ListaMB!D48,"")</f>
      </c>
      <c r="AA41" s="20">
        <f>IF(ListaMB!D48&lt;&gt;"",ListaMB!I48,"")</f>
      </c>
      <c r="AB41" s="21">
        <f>IF(ListaMB!D48&lt;&gt;"",ListaMB!K48,0)</f>
        <v>0</v>
      </c>
      <c r="AC41">
        <f t="shared" si="2"/>
        <v>0</v>
      </c>
    </row>
    <row r="42" spans="1:29" ht="12.75">
      <c r="A42" t="s">
        <v>266</v>
      </c>
      <c r="B42" s="18" t="str">
        <f>TRIM(Opci!C69)</f>
        <v>monika.rajkovic@croatiabanka.hr</v>
      </c>
      <c r="D42" s="231" t="s">
        <v>1090</v>
      </c>
      <c r="E42" s="232">
        <v>1</v>
      </c>
      <c r="F42" s="232">
        <f>Bilanca!I52</f>
        <v>41</v>
      </c>
      <c r="G42" s="232">
        <f>IF(Bilanca!J52=0,"",Bilanca!J52)</f>
      </c>
      <c r="H42" s="233">
        <f t="shared" si="0"/>
        <v>2023378.864</v>
      </c>
      <c r="I42" s="232">
        <f t="shared" si="3"/>
        <v>0.39999999990686774</v>
      </c>
      <c r="J42" s="197">
        <f>Bilanca!K52</f>
        <v>1767184.4</v>
      </c>
      <c r="K42" s="198">
        <f>Bilanca!L52</f>
        <v>1583943</v>
      </c>
      <c r="L42" s="60"/>
      <c r="M42" s="62"/>
      <c r="N42" s="62"/>
      <c r="O42" s="62"/>
      <c r="P42" s="62"/>
      <c r="Q42" s="62"/>
      <c r="R42" s="62"/>
      <c r="S42" s="62"/>
      <c r="T42" s="62"/>
      <c r="U42" s="62"/>
      <c r="V42" s="62"/>
      <c r="W42" s="62"/>
      <c r="X42" s="61"/>
      <c r="Y42" s="20">
        <f>IF(ListaMB!D49&lt;&gt;"",TEXT(ListaMB!B49,"00000000"),"")</f>
      </c>
      <c r="Z42" s="20">
        <f>IF(ListaMB!D49&lt;&gt;"",ListaMB!D49,"")</f>
      </c>
      <c r="AA42" s="20">
        <f>IF(ListaMB!D49&lt;&gt;"",ListaMB!I49,"")</f>
      </c>
      <c r="AB42" s="21">
        <f>IF(ListaMB!D49&lt;&gt;"",ListaMB!K49,0)</f>
        <v>0</v>
      </c>
      <c r="AC42">
        <f t="shared" si="2"/>
        <v>0</v>
      </c>
    </row>
    <row r="43" spans="1:29" ht="12.75">
      <c r="A43" t="s">
        <v>265</v>
      </c>
      <c r="B43" s="18" t="str">
        <f>TRIM(Opci!C71)</f>
        <v>Suzana Brenko</v>
      </c>
      <c r="D43" s="231" t="s">
        <v>1090</v>
      </c>
      <c r="E43" s="232">
        <v>1</v>
      </c>
      <c r="F43" s="232">
        <f>Bilanca!I53</f>
        <v>42</v>
      </c>
      <c r="G43" s="232">
        <f>IF(Bilanca!J53=0,"",Bilanca!J53)</f>
      </c>
      <c r="H43" s="233">
        <f t="shared" si="0"/>
        <v>0</v>
      </c>
      <c r="I43" s="232">
        <f t="shared" si="3"/>
        <v>0</v>
      </c>
      <c r="J43" s="197">
        <f>Bilanca!K53</f>
        <v>0</v>
      </c>
      <c r="K43" s="198">
        <f>Bilanca!L53</f>
        <v>0</v>
      </c>
      <c r="L43" s="60"/>
      <c r="M43" s="62"/>
      <c r="N43" s="62"/>
      <c r="O43" s="62"/>
      <c r="P43" s="62"/>
      <c r="Q43" s="62"/>
      <c r="R43" s="62"/>
      <c r="S43" s="62"/>
      <c r="T43" s="62"/>
      <c r="U43" s="62"/>
      <c r="V43" s="62"/>
      <c r="W43" s="62"/>
      <c r="X43" s="61"/>
      <c r="Y43" s="20">
        <f>IF(ListaMB!D50&lt;&gt;"",TEXT(ListaMB!B50,"00000000"),"")</f>
      </c>
      <c r="Z43" s="20">
        <f>IF(ListaMB!D50&lt;&gt;"",ListaMB!D50,"")</f>
      </c>
      <c r="AA43" s="20">
        <f>IF(ListaMB!D50&lt;&gt;"",ListaMB!I50,"")</f>
      </c>
      <c r="AB43" s="21">
        <f>IF(ListaMB!D50&lt;&gt;"",ListaMB!K50,0)</f>
        <v>0</v>
      </c>
      <c r="AC43">
        <f t="shared" si="2"/>
        <v>0</v>
      </c>
    </row>
    <row r="44" spans="1:29" ht="12.75">
      <c r="A44" t="s">
        <v>883</v>
      </c>
      <c r="B44" s="18" t="str">
        <f>IF(Opci!E5&lt;&gt;"",TEXT(Opci!E5,"YYYYMMDD"),"")</f>
        <v>20130101</v>
      </c>
      <c r="D44" s="231" t="s">
        <v>1090</v>
      </c>
      <c r="E44" s="232">
        <v>1</v>
      </c>
      <c r="F44" s="232">
        <f>Bilanca!I54</f>
        <v>43</v>
      </c>
      <c r="G44" s="232">
        <f>IF(Bilanca!J54=0,"",Bilanca!J54)</f>
      </c>
      <c r="H44" s="233">
        <f t="shared" si="0"/>
        <v>262515327.23000002</v>
      </c>
      <c r="I44" s="232">
        <f t="shared" si="3"/>
        <v>2.9802322387695312E-08</v>
      </c>
      <c r="J44" s="197">
        <f>Bilanca!K54</f>
        <v>220052055.00000003</v>
      </c>
      <c r="K44" s="198">
        <f>Bilanca!L54</f>
        <v>195224353</v>
      </c>
      <c r="L44" s="60"/>
      <c r="M44" s="62"/>
      <c r="N44" s="62"/>
      <c r="O44" s="62"/>
      <c r="P44" s="62"/>
      <c r="Q44" s="62"/>
      <c r="R44" s="62"/>
      <c r="S44" s="62"/>
      <c r="T44" s="62"/>
      <c r="U44" s="62"/>
      <c r="V44" s="62"/>
      <c r="W44" s="62"/>
      <c r="X44" s="61"/>
      <c r="Y44" s="20">
        <f>IF(ListaMB!D51&lt;&gt;"",TEXT(ListaMB!B51,"00000000"),"")</f>
      </c>
      <c r="Z44" s="20">
        <f>IF(ListaMB!D51&lt;&gt;"",ListaMB!D51,"")</f>
      </c>
      <c r="AA44" s="20">
        <f>IF(ListaMB!D51&lt;&gt;"",ListaMB!I51,"")</f>
      </c>
      <c r="AB44" s="21">
        <f>IF(ListaMB!D51&lt;&gt;"",ListaMB!K51,0)</f>
        <v>0</v>
      </c>
      <c r="AC44">
        <f t="shared" si="2"/>
        <v>0</v>
      </c>
    </row>
    <row r="45" spans="1:29" ht="12.75">
      <c r="A45" t="s">
        <v>884</v>
      </c>
      <c r="B45" s="18" t="str">
        <f>IF(Opci!H5&lt;&gt;"",TEXT(Opci!H5,"YYYYMMDD"),"")</f>
        <v>20131231</v>
      </c>
      <c r="D45" s="231" t="s">
        <v>1090</v>
      </c>
      <c r="E45" s="232">
        <v>1</v>
      </c>
      <c r="F45" s="232">
        <f>Bilanca!I55</f>
        <v>44</v>
      </c>
      <c r="G45" s="232">
        <f>IF(Bilanca!J55=0,"",Bilanca!J55)</f>
      </c>
      <c r="H45" s="233">
        <f t="shared" si="0"/>
        <v>3186146558.76</v>
      </c>
      <c r="I45" s="232">
        <f t="shared" si="3"/>
        <v>0</v>
      </c>
      <c r="J45" s="197">
        <f>Bilanca!K55</f>
        <v>1984136483</v>
      </c>
      <c r="K45" s="198">
        <f>Bilanca!L55</f>
        <v>2628552848</v>
      </c>
      <c r="L45" s="60"/>
      <c r="M45" s="62"/>
      <c r="N45" s="62"/>
      <c r="O45" s="62"/>
      <c r="P45" s="62"/>
      <c r="Q45" s="62"/>
      <c r="R45" s="62"/>
      <c r="S45" s="62"/>
      <c r="T45" s="62"/>
      <c r="U45" s="62"/>
      <c r="V45" s="62"/>
      <c r="W45" s="62"/>
      <c r="X45" s="61"/>
      <c r="Y45" s="20">
        <f>IF(ListaMB!D52&lt;&gt;"",TEXT(ListaMB!B52,"00000000"),"")</f>
      </c>
      <c r="Z45" s="20">
        <f>IF(ListaMB!D52&lt;&gt;"",ListaMB!D52,"")</f>
      </c>
      <c r="AA45" s="20">
        <f>IF(ListaMB!D52&lt;&gt;"",ListaMB!I52,"")</f>
      </c>
      <c r="AB45" s="21">
        <f>IF(ListaMB!D52&lt;&gt;"",ListaMB!K52,0)</f>
        <v>0</v>
      </c>
      <c r="AC45">
        <f t="shared" si="2"/>
        <v>0</v>
      </c>
    </row>
    <row r="46" spans="1:29" ht="12.75">
      <c r="A46" t="s">
        <v>878</v>
      </c>
      <c r="B46" s="18" t="str">
        <f>IF(Bilanca!O1&gt;0,"DA","NE")</f>
        <v>DA</v>
      </c>
      <c r="D46" s="231" t="s">
        <v>1090</v>
      </c>
      <c r="E46" s="232">
        <v>1</v>
      </c>
      <c r="F46" s="232">
        <f>Bilanca!I57</f>
        <v>45</v>
      </c>
      <c r="G46" s="232">
        <f>IF(Bilanca!J57=0,"",Bilanca!J57)</f>
      </c>
      <c r="H46" s="233">
        <f t="shared" si="0"/>
        <v>0</v>
      </c>
      <c r="I46" s="232">
        <f t="shared" si="3"/>
        <v>0</v>
      </c>
      <c r="J46" s="197">
        <f>Bilanca!K57</f>
        <v>0</v>
      </c>
      <c r="K46" s="198">
        <f>Bilanca!L57</f>
        <v>0</v>
      </c>
      <c r="L46" s="60"/>
      <c r="M46" s="62"/>
      <c r="N46" s="62"/>
      <c r="O46" s="62"/>
      <c r="P46" s="62"/>
      <c r="Q46" s="62"/>
      <c r="R46" s="62"/>
      <c r="S46" s="62"/>
      <c r="T46" s="62"/>
      <c r="U46" s="62"/>
      <c r="V46" s="62"/>
      <c r="W46" s="62"/>
      <c r="X46" s="61"/>
      <c r="Y46" s="20">
        <f>IF(ListaMB!D53&lt;&gt;"",TEXT(ListaMB!B53,"00000000"),"")</f>
      </c>
      <c r="Z46" s="20">
        <f>IF(ListaMB!D53&lt;&gt;"",ListaMB!D53,"")</f>
      </c>
      <c r="AA46" s="20">
        <f>IF(ListaMB!D53&lt;&gt;"",ListaMB!I53,"")</f>
      </c>
      <c r="AB46" s="21">
        <f>IF(ListaMB!D53&lt;&gt;"",ListaMB!K53,0)</f>
        <v>0</v>
      </c>
      <c r="AC46">
        <f t="shared" si="2"/>
        <v>0</v>
      </c>
    </row>
    <row r="47" spans="1:29" ht="12.75">
      <c r="A47" t="s">
        <v>877</v>
      </c>
      <c r="B47" s="18" t="str">
        <f>IF(RDG!O1&gt;0,"DA","NE")</f>
        <v>DA</v>
      </c>
      <c r="D47" s="231" t="s">
        <v>1090</v>
      </c>
      <c r="E47" s="232">
        <v>1</v>
      </c>
      <c r="F47" s="232">
        <f>Bilanca!I58</f>
        <v>46</v>
      </c>
      <c r="G47" s="232">
        <f>IF(Bilanca!J58=0,"",Bilanca!J58)</f>
      </c>
      <c r="H47" s="233">
        <f t="shared" si="0"/>
        <v>0</v>
      </c>
      <c r="I47" s="232">
        <f t="shared" si="3"/>
        <v>0</v>
      </c>
      <c r="J47" s="197">
        <f>Bilanca!K58</f>
        <v>0</v>
      </c>
      <c r="K47" s="198">
        <f>Bilanca!L58</f>
        <v>0</v>
      </c>
      <c r="L47" s="60"/>
      <c r="M47" s="62"/>
      <c r="N47" s="62"/>
      <c r="O47" s="62"/>
      <c r="P47" s="62"/>
      <c r="Q47" s="62"/>
      <c r="R47" s="62"/>
      <c r="S47" s="62"/>
      <c r="T47" s="62"/>
      <c r="U47" s="62"/>
      <c r="V47" s="62"/>
      <c r="W47" s="62"/>
      <c r="X47" s="61"/>
      <c r="Y47" s="20">
        <f>IF(ListaMB!D54&lt;&gt;"",TEXT(ListaMB!B54,"00000000"),"")</f>
      </c>
      <c r="Z47" s="20">
        <f>IF(ListaMB!D54&lt;&gt;"",ListaMB!D54,"")</f>
      </c>
      <c r="AA47" s="20">
        <f>IF(ListaMB!D54&lt;&gt;"",ListaMB!I54,"")</f>
      </c>
      <c r="AB47" s="21">
        <f>IF(ListaMB!D54&lt;&gt;"",ListaMB!K54,0)</f>
        <v>0</v>
      </c>
      <c r="AC47">
        <f t="shared" si="2"/>
        <v>0</v>
      </c>
    </row>
    <row r="48" spans="1:29" ht="12.75">
      <c r="A48" t="s">
        <v>879</v>
      </c>
      <c r="B48" s="18" t="str">
        <f>Opci!H41</f>
        <v>NE</v>
      </c>
      <c r="D48" s="235" t="s">
        <v>1090</v>
      </c>
      <c r="E48" s="236">
        <v>1</v>
      </c>
      <c r="F48" s="236">
        <f>Bilanca!I59</f>
        <v>47</v>
      </c>
      <c r="G48" s="236">
        <f>IF(Bilanca!J59=0,"",Bilanca!J59)</f>
      </c>
      <c r="H48" s="237">
        <f t="shared" si="0"/>
        <v>0</v>
      </c>
      <c r="I48" s="236">
        <f t="shared" si="3"/>
        <v>0</v>
      </c>
      <c r="J48" s="238">
        <f>Bilanca!K59</f>
        <v>0</v>
      </c>
      <c r="K48" s="239">
        <f>Bilanca!L59</f>
        <v>0</v>
      </c>
      <c r="L48" s="60"/>
      <c r="M48" s="62"/>
      <c r="N48" s="62"/>
      <c r="O48" s="62"/>
      <c r="P48" s="62"/>
      <c r="Q48" s="62"/>
      <c r="R48" s="62"/>
      <c r="S48" s="62"/>
      <c r="T48" s="62"/>
      <c r="U48" s="62"/>
      <c r="V48" s="62"/>
      <c r="W48" s="62"/>
      <c r="X48" s="61"/>
      <c r="Y48" s="20">
        <f>IF(ListaMB!D55&lt;&gt;"",TEXT(ListaMB!B55,"00000000"),"")</f>
      </c>
      <c r="Z48" s="20">
        <f>IF(ListaMB!D55&lt;&gt;"",ListaMB!D55,"")</f>
      </c>
      <c r="AA48" s="20">
        <f>IF(ListaMB!D55&lt;&gt;"",ListaMB!I55,"")</f>
      </c>
      <c r="AB48" s="21">
        <f>IF(ListaMB!D55&lt;&gt;"",ListaMB!K55,0)</f>
        <v>0</v>
      </c>
      <c r="AC48">
        <f t="shared" si="2"/>
        <v>0</v>
      </c>
    </row>
    <row r="49" spans="1:29" ht="12.75">
      <c r="A49" t="s">
        <v>881</v>
      </c>
      <c r="B49" s="18" t="str">
        <f>IF(NT_I!O1&gt;0,"DA","NE")</f>
        <v>DA</v>
      </c>
      <c r="D49" s="199" t="s">
        <v>305</v>
      </c>
      <c r="E49" s="200">
        <v>2</v>
      </c>
      <c r="F49" s="200">
        <f>RDG!I9</f>
        <v>48</v>
      </c>
      <c r="G49" s="200">
        <f>IF(RDG!J9=0,"",RDG!J9)</f>
      </c>
      <c r="H49" s="201">
        <f aca="true" t="shared" si="4" ref="H49:H70">J49/100*F49+2*K49/100*F49</f>
        <v>152366795.04000002</v>
      </c>
      <c r="I49" s="200">
        <f aca="true" t="shared" si="5" ref="I49:I76">ABS(ROUND(J49,0)-J49)+ABS(ROUND(K49,0)-K49)</f>
        <v>0</v>
      </c>
      <c r="J49" s="202">
        <f>RDG!K9</f>
        <v>91491429</v>
      </c>
      <c r="K49" s="203">
        <f>RDG!L9</f>
        <v>112969697</v>
      </c>
      <c r="L49" s="60"/>
      <c r="M49" s="62"/>
      <c r="N49" s="62"/>
      <c r="O49" s="62"/>
      <c r="P49" s="62"/>
      <c r="Q49" s="62"/>
      <c r="R49" s="62"/>
      <c r="S49" s="62"/>
      <c r="T49" s="62"/>
      <c r="U49" s="62"/>
      <c r="V49" s="62"/>
      <c r="W49" s="62"/>
      <c r="X49" s="61"/>
      <c r="Y49" s="20">
        <f>IF(ListaMB!D56&lt;&gt;"",TEXT(ListaMB!B56,"00000000"),"")</f>
      </c>
      <c r="Z49" s="20">
        <f>IF(ListaMB!D56&lt;&gt;"",ListaMB!D56,"")</f>
      </c>
      <c r="AA49" s="20">
        <f>IF(ListaMB!D56&lt;&gt;"",ListaMB!I56,"")</f>
      </c>
      <c r="AB49" s="21">
        <f>IF(ListaMB!D56&lt;&gt;"",ListaMB!K56,0)</f>
        <v>0</v>
      </c>
      <c r="AC49">
        <f t="shared" si="2"/>
        <v>0</v>
      </c>
    </row>
    <row r="50" spans="1:29" ht="12.75">
      <c r="A50" t="s">
        <v>880</v>
      </c>
      <c r="B50" s="18" t="str">
        <f>IF(NT_D!P1&gt;0,"DA","NE")</f>
        <v>NE</v>
      </c>
      <c r="D50" s="204" t="s">
        <v>305</v>
      </c>
      <c r="E50" s="205">
        <v>2</v>
      </c>
      <c r="F50" s="205">
        <f>RDG!I10</f>
        <v>49</v>
      </c>
      <c r="G50" s="205">
        <f>IF(RDG!J10=0,"",RDG!J10)</f>
      </c>
      <c r="H50" s="206">
        <f t="shared" si="4"/>
        <v>93609559.33</v>
      </c>
      <c r="I50" s="205">
        <f t="shared" si="5"/>
        <v>0</v>
      </c>
      <c r="J50" s="207">
        <f>RDG!K10</f>
        <v>52510069</v>
      </c>
      <c r="K50" s="208">
        <f>RDG!L10</f>
        <v>69264924</v>
      </c>
      <c r="L50" s="60"/>
      <c r="M50" s="62"/>
      <c r="N50" s="62"/>
      <c r="O50" s="62"/>
      <c r="P50" s="62"/>
      <c r="Q50" s="62"/>
      <c r="R50" s="62"/>
      <c r="S50" s="62"/>
      <c r="T50" s="62"/>
      <c r="U50" s="62"/>
      <c r="V50" s="62"/>
      <c r="W50" s="62"/>
      <c r="X50" s="61"/>
      <c r="Y50" s="20">
        <f>IF(ListaMB!D57&lt;&gt;"",TEXT(ListaMB!B57,"00000000"),"")</f>
      </c>
      <c r="Z50" s="20">
        <f>IF(ListaMB!D57&lt;&gt;"",ListaMB!D57,"")</f>
      </c>
      <c r="AA50" s="20">
        <f>IF(ListaMB!D57&lt;&gt;"",ListaMB!I57,"")</f>
      </c>
      <c r="AB50" s="21">
        <f>IF(ListaMB!D57&lt;&gt;"",ListaMB!K57,0)</f>
        <v>0</v>
      </c>
      <c r="AC50">
        <f t="shared" si="2"/>
        <v>0</v>
      </c>
    </row>
    <row r="51" spans="1:29" ht="12.75">
      <c r="A51" t="s">
        <v>882</v>
      </c>
      <c r="B51" s="18" t="str">
        <f>Opci!H47</f>
        <v>DA</v>
      </c>
      <c r="D51" s="204" t="s">
        <v>305</v>
      </c>
      <c r="E51" s="205">
        <v>2</v>
      </c>
      <c r="F51" s="205">
        <f>RDG!I11</f>
        <v>50</v>
      </c>
      <c r="G51" s="205">
        <f>IF(RDG!J11=0,"",RDG!J11)</f>
      </c>
      <c r="H51" s="206">
        <f t="shared" si="4"/>
        <v>63195453</v>
      </c>
      <c r="I51" s="205">
        <f t="shared" si="5"/>
        <v>0</v>
      </c>
      <c r="J51" s="207">
        <f>RDG!K11</f>
        <v>38981360</v>
      </c>
      <c r="K51" s="208">
        <f>RDG!L11</f>
        <v>43704773</v>
      </c>
      <c r="L51" s="60"/>
      <c r="M51" s="62"/>
      <c r="N51" s="62"/>
      <c r="O51" s="62"/>
      <c r="P51" s="62"/>
      <c r="Q51" s="62"/>
      <c r="R51" s="62"/>
      <c r="S51" s="62"/>
      <c r="T51" s="62"/>
      <c r="U51" s="62"/>
      <c r="V51" s="62"/>
      <c r="W51" s="62"/>
      <c r="X51" s="61"/>
      <c r="Y51" s="20">
        <f>IF(ListaMB!D58&lt;&gt;"",TEXT(ListaMB!B58,"00000000"),"")</f>
      </c>
      <c r="Z51" s="20">
        <f>IF(ListaMB!D58&lt;&gt;"",ListaMB!D58,"")</f>
      </c>
      <c r="AA51" s="20">
        <f>IF(ListaMB!D58&lt;&gt;"",ListaMB!I58,"")</f>
      </c>
      <c r="AB51" s="21">
        <f>IF(ListaMB!D58&lt;&gt;"",ListaMB!K58,0)</f>
        <v>0</v>
      </c>
      <c r="AC51">
        <f t="shared" si="2"/>
        <v>0</v>
      </c>
    </row>
    <row r="52" spans="1:29" ht="12.75">
      <c r="A52" t="s">
        <v>635</v>
      </c>
      <c r="B52" s="18" t="str">
        <f>IF(ListaMB!O1&gt;0,"DA","NE")</f>
        <v>NE</v>
      </c>
      <c r="D52" s="204" t="s">
        <v>305</v>
      </c>
      <c r="E52" s="205">
        <v>2</v>
      </c>
      <c r="F52" s="205">
        <f>RDG!I12</f>
        <v>51</v>
      </c>
      <c r="G52" s="205">
        <f>IF(RDG!J12=0,"",RDG!J12)</f>
      </c>
      <c r="H52" s="206">
        <f t="shared" si="4"/>
        <v>15173278.77</v>
      </c>
      <c r="I52" s="205">
        <f t="shared" si="5"/>
        <v>0</v>
      </c>
      <c r="J52" s="207">
        <f>RDG!K12</f>
        <v>10146277</v>
      </c>
      <c r="K52" s="208">
        <f>RDG!L12</f>
        <v>9802625</v>
      </c>
      <c r="L52" s="60"/>
      <c r="M52" s="62"/>
      <c r="N52" s="62"/>
      <c r="O52" s="62"/>
      <c r="P52" s="62"/>
      <c r="Q52" s="62"/>
      <c r="R52" s="62"/>
      <c r="S52" s="62"/>
      <c r="T52" s="62"/>
      <c r="U52" s="62"/>
      <c r="V52" s="62"/>
      <c r="W52" s="62"/>
      <c r="X52" s="61"/>
      <c r="Y52" s="20">
        <f>IF(ListaMB!D59&lt;&gt;"",TEXT(ListaMB!B59,"00000000"),"")</f>
      </c>
      <c r="Z52" s="20">
        <f>IF(ListaMB!D59&lt;&gt;"",ListaMB!D59,"")</f>
      </c>
      <c r="AA52" s="20">
        <f>IF(ListaMB!D59&lt;&gt;"",ListaMB!I59,"")</f>
      </c>
      <c r="AB52" s="21">
        <f>IF(ListaMB!D59&lt;&gt;"",ListaMB!K59,0)</f>
        <v>0</v>
      </c>
      <c r="AC52">
        <f t="shared" si="2"/>
        <v>0</v>
      </c>
    </row>
    <row r="53" spans="1:29" ht="12.75">
      <c r="A53" t="s">
        <v>267</v>
      </c>
      <c r="B53" s="18" t="str">
        <f>Opci!H43</f>
        <v>DA</v>
      </c>
      <c r="D53" s="204" t="s">
        <v>305</v>
      </c>
      <c r="E53" s="205">
        <v>2</v>
      </c>
      <c r="F53" s="205">
        <f>RDG!I13</f>
        <v>52</v>
      </c>
      <c r="G53" s="205">
        <f>IF(RDG!J13=0,"",RDG!J13)</f>
      </c>
      <c r="H53" s="206">
        <f t="shared" si="4"/>
        <v>7599021.040000001</v>
      </c>
      <c r="I53" s="205">
        <f t="shared" si="5"/>
        <v>0</v>
      </c>
      <c r="J53" s="207">
        <f>RDG!K13</f>
        <v>4651940</v>
      </c>
      <c r="K53" s="208">
        <f>RDG!L13</f>
        <v>4980781</v>
      </c>
      <c r="L53" s="60"/>
      <c r="M53" s="62"/>
      <c r="N53" s="62"/>
      <c r="O53" s="62"/>
      <c r="P53" s="62"/>
      <c r="Q53" s="62"/>
      <c r="R53" s="62"/>
      <c r="S53" s="62"/>
      <c r="T53" s="62"/>
      <c r="U53" s="62"/>
      <c r="V53" s="62"/>
      <c r="W53" s="62"/>
      <c r="X53" s="61"/>
      <c r="Y53" s="20">
        <f>IF(ListaMB!D60&lt;&gt;"",TEXT(ListaMB!B60,"00000000"),"")</f>
      </c>
      <c r="Z53" s="20">
        <f>IF(ListaMB!D60&lt;&gt;"",ListaMB!D60,"")</f>
      </c>
      <c r="AA53" s="20">
        <f>IF(ListaMB!D60&lt;&gt;"",ListaMB!I60,"")</f>
      </c>
      <c r="AB53" s="21">
        <f>IF(ListaMB!D60&lt;&gt;"",ListaMB!K60,0)</f>
        <v>0</v>
      </c>
      <c r="AC53">
        <f t="shared" si="2"/>
        <v>0</v>
      </c>
    </row>
    <row r="54" spans="1:29" ht="12.75">
      <c r="A54" t="s">
        <v>268</v>
      </c>
      <c r="B54" s="18" t="str">
        <f>Opci!H49</f>
        <v>DA</v>
      </c>
      <c r="D54" s="204" t="s">
        <v>305</v>
      </c>
      <c r="E54" s="205">
        <v>2</v>
      </c>
      <c r="F54" s="205">
        <f>RDG!I14</f>
        <v>53</v>
      </c>
      <c r="G54" s="205">
        <f>IF(RDG!J14=0,"",RDG!J14)</f>
      </c>
      <c r="H54" s="206">
        <f t="shared" si="4"/>
        <v>8023153.250000001</v>
      </c>
      <c r="I54" s="205">
        <f t="shared" si="5"/>
        <v>0</v>
      </c>
      <c r="J54" s="207">
        <f>RDG!K14</f>
        <v>5494337</v>
      </c>
      <c r="K54" s="208">
        <f>RDG!L14</f>
        <v>4821844</v>
      </c>
      <c r="L54" s="60"/>
      <c r="M54" s="62"/>
      <c r="N54" s="62"/>
      <c r="O54" s="62"/>
      <c r="P54" s="62"/>
      <c r="Q54" s="62"/>
      <c r="R54" s="62"/>
      <c r="S54" s="62"/>
      <c r="T54" s="62"/>
      <c r="U54" s="62"/>
      <c r="V54" s="62"/>
      <c r="W54" s="62"/>
      <c r="X54" s="61"/>
      <c r="Y54" s="20">
        <f>IF(ListaMB!D61&lt;&gt;"",TEXT(ListaMB!B61,"00000000"),"")</f>
      </c>
      <c r="Z54" s="20">
        <f>IF(ListaMB!D61&lt;&gt;"",ListaMB!D61,"")</f>
      </c>
      <c r="AA54" s="20">
        <f>IF(ListaMB!D61&lt;&gt;"",ListaMB!I61,"")</f>
      </c>
      <c r="AB54" s="21">
        <f>IF(ListaMB!D61&lt;&gt;"",ListaMB!K61,0)</f>
        <v>0</v>
      </c>
      <c r="AC54">
        <f t="shared" si="2"/>
        <v>0</v>
      </c>
    </row>
    <row r="55" spans="1:29" ht="12.75">
      <c r="A55" t="s">
        <v>269</v>
      </c>
      <c r="B55" s="18" t="str">
        <f>Opci!H51</f>
        <v>DA</v>
      </c>
      <c r="D55" s="204" t="s">
        <v>305</v>
      </c>
      <c r="E55" s="205">
        <v>2</v>
      </c>
      <c r="F55" s="205">
        <f>RDG!I15</f>
        <v>54</v>
      </c>
      <c r="G55" s="205">
        <f>IF(RDG!J15=0,"",RDG!J15)</f>
      </c>
      <c r="H55" s="206">
        <f t="shared" si="4"/>
        <v>0</v>
      </c>
      <c r="I55" s="205">
        <f t="shared" si="5"/>
        <v>0</v>
      </c>
      <c r="J55" s="207">
        <f>RDG!K15</f>
        <v>0</v>
      </c>
      <c r="K55" s="208">
        <f>RDG!L15</f>
        <v>0</v>
      </c>
      <c r="L55" s="60"/>
      <c r="M55" s="62"/>
      <c r="N55" s="62"/>
      <c r="O55" s="62"/>
      <c r="P55" s="62"/>
      <c r="Q55" s="62"/>
      <c r="R55" s="62"/>
      <c r="S55" s="62"/>
      <c r="T55" s="62"/>
      <c r="U55" s="62"/>
      <c r="V55" s="62"/>
      <c r="W55" s="62"/>
      <c r="X55" s="61"/>
      <c r="Y55" s="20">
        <f>IF(ListaMB!D62&lt;&gt;"",TEXT(ListaMB!B62,"00000000"),"")</f>
      </c>
      <c r="Z55" s="20">
        <f>IF(ListaMB!D62&lt;&gt;"",ListaMB!D62,"")</f>
      </c>
      <c r="AA55" s="20">
        <f>IF(ListaMB!D62&lt;&gt;"",ListaMB!I62,"")</f>
      </c>
      <c r="AB55" s="21">
        <f>IF(ListaMB!D62&lt;&gt;"",ListaMB!K62,0)</f>
        <v>0</v>
      </c>
      <c r="AC55">
        <f t="shared" si="2"/>
        <v>0</v>
      </c>
    </row>
    <row r="56" spans="1:29" ht="12.75">
      <c r="A56" t="s">
        <v>270</v>
      </c>
      <c r="B56" s="18" t="str">
        <f>Opci!H53</f>
        <v>DA</v>
      </c>
      <c r="D56" s="204" t="s">
        <v>305</v>
      </c>
      <c r="E56" s="205">
        <v>2</v>
      </c>
      <c r="F56" s="205">
        <f>RDG!I16</f>
        <v>55</v>
      </c>
      <c r="G56" s="205">
        <f>IF(RDG!J16=0,"",RDG!J16)</f>
      </c>
      <c r="H56" s="206">
        <f t="shared" si="4"/>
        <v>5524957.35</v>
      </c>
      <c r="I56" s="205">
        <f t="shared" si="5"/>
        <v>0</v>
      </c>
      <c r="J56" s="207">
        <f>RDG!K16</f>
        <v>4585503</v>
      </c>
      <c r="K56" s="208">
        <f>RDG!L16</f>
        <v>2729937</v>
      </c>
      <c r="L56" s="60"/>
      <c r="M56" s="62"/>
      <c r="N56" s="62"/>
      <c r="O56" s="62"/>
      <c r="P56" s="62"/>
      <c r="Q56" s="62"/>
      <c r="R56" s="62"/>
      <c r="S56" s="62"/>
      <c r="T56" s="62"/>
      <c r="U56" s="62"/>
      <c r="V56" s="62"/>
      <c r="W56" s="62"/>
      <c r="X56" s="61"/>
      <c r="Y56" s="20">
        <f>IF(ListaMB!D63&lt;&gt;"",TEXT(ListaMB!B63,"00000000"),"")</f>
      </c>
      <c r="Z56" s="20">
        <f>IF(ListaMB!D63&lt;&gt;"",ListaMB!D63,"")</f>
      </c>
      <c r="AA56" s="20">
        <f>IF(ListaMB!D63&lt;&gt;"",ListaMB!I63,"")</f>
      </c>
      <c r="AB56" s="21">
        <f>IF(ListaMB!D63&lt;&gt;"",ListaMB!K63,0)</f>
        <v>0</v>
      </c>
      <c r="AC56">
        <f t="shared" si="2"/>
        <v>0</v>
      </c>
    </row>
    <row r="57" spans="1:29" ht="12.75">
      <c r="A57" t="s">
        <v>271</v>
      </c>
      <c r="B57" s="18" t="str">
        <f>Opci!H55</f>
        <v>DA</v>
      </c>
      <c r="D57" s="204" t="s">
        <v>305</v>
      </c>
      <c r="E57" s="205">
        <v>2</v>
      </c>
      <c r="F57" s="205">
        <f>RDG!I17</f>
        <v>56</v>
      </c>
      <c r="G57" s="205">
        <f>IF(RDG!J17=0,"",RDG!J17)</f>
      </c>
      <c r="H57" s="206">
        <f t="shared" si="4"/>
        <v>5377.68</v>
      </c>
      <c r="I57" s="205">
        <f t="shared" si="5"/>
        <v>0</v>
      </c>
      <c r="J57" s="207">
        <f>RDG!K17</f>
        <v>-4781</v>
      </c>
      <c r="K57" s="208">
        <f>RDG!L17</f>
        <v>7192</v>
      </c>
      <c r="L57" s="60"/>
      <c r="M57" s="62"/>
      <c r="N57" s="62"/>
      <c r="O57" s="62"/>
      <c r="P57" s="62"/>
      <c r="Q57" s="62"/>
      <c r="R57" s="62"/>
      <c r="S57" s="62"/>
      <c r="T57" s="62"/>
      <c r="U57" s="62"/>
      <c r="V57" s="62"/>
      <c r="W57" s="62"/>
      <c r="X57" s="61"/>
      <c r="Y57" s="20">
        <f>IF(ListaMB!D64&lt;&gt;"",TEXT(ListaMB!B64,"00000000"),"")</f>
      </c>
      <c r="Z57" s="20">
        <f>IF(ListaMB!D64&lt;&gt;"",ListaMB!D64,"")</f>
      </c>
      <c r="AA57" s="20">
        <f>IF(ListaMB!D64&lt;&gt;"",ListaMB!I64,"")</f>
      </c>
      <c r="AB57" s="21">
        <f>IF(ListaMB!D64&lt;&gt;"",ListaMB!K64,0)</f>
        <v>0</v>
      </c>
      <c r="AC57">
        <f t="shared" si="2"/>
        <v>0</v>
      </c>
    </row>
    <row r="58" spans="1:29" ht="12.75">
      <c r="A58" t="s">
        <v>898</v>
      </c>
      <c r="B58" s="18" t="str">
        <f>IF(Kont!M1&gt;0,"NE","DA")</f>
        <v>DA</v>
      </c>
      <c r="D58" s="204" t="s">
        <v>305</v>
      </c>
      <c r="E58" s="205">
        <v>2</v>
      </c>
      <c r="F58" s="205">
        <f>RDG!I18</f>
        <v>57</v>
      </c>
      <c r="G58" s="205">
        <f>IF(RDG!J18=0,"",RDG!J18)</f>
      </c>
      <c r="H58" s="206">
        <f t="shared" si="4"/>
        <v>0</v>
      </c>
      <c r="I58" s="205">
        <f t="shared" si="5"/>
        <v>0</v>
      </c>
      <c r="J58" s="207">
        <f>RDG!K18</f>
        <v>0</v>
      </c>
      <c r="K58" s="208">
        <f>RDG!L18</f>
        <v>0</v>
      </c>
      <c r="L58" s="60"/>
      <c r="M58" s="62"/>
      <c r="N58" s="62"/>
      <c r="O58" s="62"/>
      <c r="P58" s="62"/>
      <c r="Q58" s="62"/>
      <c r="R58" s="62"/>
      <c r="S58" s="62"/>
      <c r="T58" s="62"/>
      <c r="U58" s="62"/>
      <c r="V58" s="62"/>
      <c r="W58" s="62"/>
      <c r="X58" s="61"/>
      <c r="Y58" s="20">
        <f>IF(ListaMB!D65&lt;&gt;"",TEXT(ListaMB!B65,"00000000"),"")</f>
      </c>
      <c r="Z58" s="20">
        <f>IF(ListaMB!D65&lt;&gt;"",ListaMB!D65,"")</f>
      </c>
      <c r="AA58" s="20">
        <f>IF(ListaMB!D65&lt;&gt;"",ListaMB!I65,"")</f>
      </c>
      <c r="AB58" s="21">
        <f>IF(ListaMB!D65&lt;&gt;"",ListaMB!K65,0)</f>
        <v>0</v>
      </c>
      <c r="AC58">
        <f t="shared" si="2"/>
        <v>0</v>
      </c>
    </row>
    <row r="59" spans="1:29" ht="12.75">
      <c r="A59" t="s">
        <v>1806</v>
      </c>
      <c r="B59" s="33">
        <f>ABS(SUM(H2:H291)+SUM(Opci!P2:AK2)+SUM(AC2:AC101))</f>
        <v>13479010332.846004</v>
      </c>
      <c r="D59" s="204" t="s">
        <v>305</v>
      </c>
      <c r="E59" s="205">
        <v>2</v>
      </c>
      <c r="F59" s="205">
        <f>RDG!I19</f>
        <v>58</v>
      </c>
      <c r="G59" s="205">
        <f>IF(RDG!J19=0,"",RDG!J19)</f>
      </c>
      <c r="H59" s="206">
        <f t="shared" si="4"/>
        <v>581686.6400000001</v>
      </c>
      <c r="I59" s="205">
        <f t="shared" si="5"/>
        <v>0</v>
      </c>
      <c r="J59" s="207">
        <f>RDG!K19</f>
        <v>-1381800</v>
      </c>
      <c r="K59" s="208">
        <f>RDG!L19</f>
        <v>1192354</v>
      </c>
      <c r="L59" s="60"/>
      <c r="M59" s="62"/>
      <c r="N59" s="62"/>
      <c r="O59" s="62"/>
      <c r="P59" s="62"/>
      <c r="Q59" s="62"/>
      <c r="R59" s="62"/>
      <c r="S59" s="62"/>
      <c r="T59" s="62"/>
      <c r="U59" s="62"/>
      <c r="V59" s="62"/>
      <c r="W59" s="62"/>
      <c r="X59" s="61"/>
      <c r="Y59" s="20">
        <f>IF(ListaMB!D66&lt;&gt;"",TEXT(ListaMB!B66,"00000000"),"")</f>
      </c>
      <c r="Z59" s="20">
        <f>IF(ListaMB!D66&lt;&gt;"",ListaMB!D66,"")</f>
      </c>
      <c r="AA59" s="20">
        <f>IF(ListaMB!D66&lt;&gt;"",ListaMB!I66,"")</f>
      </c>
      <c r="AB59" s="21">
        <f>IF(ListaMB!D66&lt;&gt;"",ListaMB!K66,0)</f>
        <v>0</v>
      </c>
      <c r="AC59">
        <f t="shared" si="2"/>
        <v>0</v>
      </c>
    </row>
    <row r="60" spans="1:29" ht="12.75">
      <c r="A60" t="s">
        <v>2195</v>
      </c>
      <c r="B60" s="18">
        <f>IF(Opci!E9&lt;&gt;"",Opci!E9,"")</f>
        <v>4</v>
      </c>
      <c r="D60" s="204" t="s">
        <v>305</v>
      </c>
      <c r="E60" s="205">
        <v>2</v>
      </c>
      <c r="F60" s="205">
        <f>RDG!I20</f>
        <v>59</v>
      </c>
      <c r="G60" s="205">
        <f>IF(RDG!J20=0,"",RDG!J20)</f>
      </c>
      <c r="H60" s="206">
        <f t="shared" si="4"/>
        <v>0</v>
      </c>
      <c r="I60" s="205">
        <f t="shared" si="5"/>
        <v>0</v>
      </c>
      <c r="J60" s="207">
        <f>RDG!K20</f>
        <v>0</v>
      </c>
      <c r="K60" s="208">
        <f>RDG!L20</f>
        <v>0</v>
      </c>
      <c r="L60" s="60"/>
      <c r="M60" s="62"/>
      <c r="N60" s="62"/>
      <c r="O60" s="62"/>
      <c r="P60" s="62"/>
      <c r="Q60" s="62"/>
      <c r="R60" s="62"/>
      <c r="S60" s="62"/>
      <c r="T60" s="62"/>
      <c r="U60" s="62"/>
      <c r="V60" s="62"/>
      <c r="W60" s="62"/>
      <c r="X60" s="61"/>
      <c r="Y60" s="20">
        <f>IF(ListaMB!D67&lt;&gt;"",TEXT(ListaMB!B67,"00000000"),"")</f>
      </c>
      <c r="Z60" s="20">
        <f>IF(ListaMB!D67&lt;&gt;"",ListaMB!D67,"")</f>
      </c>
      <c r="AA60" s="20">
        <f>IF(ListaMB!D67&lt;&gt;"",ListaMB!I67,"")</f>
      </c>
      <c r="AB60" s="21">
        <f>IF(ListaMB!D67&lt;&gt;"",ListaMB!K67,0)</f>
        <v>0</v>
      </c>
      <c r="AC60">
        <f t="shared" si="2"/>
        <v>0</v>
      </c>
    </row>
    <row r="61" spans="1:29" ht="12.75">
      <c r="A61" t="s">
        <v>1561</v>
      </c>
      <c r="B61" s="33">
        <f>SUM(AC2:AC101)</f>
        <v>0</v>
      </c>
      <c r="D61" s="204" t="s">
        <v>305</v>
      </c>
      <c r="E61" s="205">
        <v>2</v>
      </c>
      <c r="F61" s="205">
        <f>RDG!I21</f>
        <v>60</v>
      </c>
      <c r="G61" s="205">
        <f>IF(RDG!J21=0,"",RDG!J21)</f>
      </c>
      <c r="H61" s="206">
        <f t="shared" si="4"/>
        <v>0</v>
      </c>
      <c r="I61" s="205">
        <f t="shared" si="5"/>
        <v>0</v>
      </c>
      <c r="J61" s="207">
        <f>RDG!K21</f>
        <v>0</v>
      </c>
      <c r="K61" s="208">
        <f>RDG!L21</f>
        <v>0</v>
      </c>
      <c r="L61" s="60"/>
      <c r="M61" s="62"/>
      <c r="N61" s="62"/>
      <c r="O61" s="62"/>
      <c r="P61" s="62"/>
      <c r="Q61" s="62"/>
      <c r="R61" s="62"/>
      <c r="S61" s="62"/>
      <c r="T61" s="62"/>
      <c r="U61" s="62"/>
      <c r="V61" s="62"/>
      <c r="W61" s="62"/>
      <c r="X61" s="61"/>
      <c r="Y61" s="20">
        <f>IF(ListaMB!D68&lt;&gt;"",TEXT(ListaMB!B68,"00000000"),"")</f>
      </c>
      <c r="Z61" s="20">
        <f>IF(ListaMB!D68&lt;&gt;"",ListaMB!D68,"")</f>
      </c>
      <c r="AA61" s="20">
        <f>IF(ListaMB!D68&lt;&gt;"",ListaMB!I68,"")</f>
      </c>
      <c r="AB61" s="21">
        <f>IF(ListaMB!D68&lt;&gt;"",ListaMB!K68,0)</f>
        <v>0</v>
      </c>
      <c r="AC61">
        <f t="shared" si="2"/>
        <v>0</v>
      </c>
    </row>
    <row r="62" spans="1:29" ht="12.75">
      <c r="A62" t="s">
        <v>480</v>
      </c>
      <c r="B62" s="18" t="s">
        <v>855</v>
      </c>
      <c r="D62" s="204" t="s">
        <v>305</v>
      </c>
      <c r="E62" s="205">
        <v>2</v>
      </c>
      <c r="F62" s="205">
        <f>RDG!I22</f>
        <v>61</v>
      </c>
      <c r="G62" s="205">
        <f>IF(RDG!J22=0,"",RDG!J22)</f>
      </c>
      <c r="H62" s="206">
        <f t="shared" si="4"/>
        <v>0</v>
      </c>
      <c r="I62" s="205">
        <f t="shared" si="5"/>
        <v>0</v>
      </c>
      <c r="J62" s="207">
        <f>RDG!K22</f>
        <v>0</v>
      </c>
      <c r="K62" s="208">
        <f>RDG!L22</f>
        <v>0</v>
      </c>
      <c r="L62" s="60"/>
      <c r="M62" s="62"/>
      <c r="N62" s="62"/>
      <c r="O62" s="62"/>
      <c r="P62" s="62"/>
      <c r="Q62" s="62"/>
      <c r="R62" s="62"/>
      <c r="S62" s="62"/>
      <c r="T62" s="62"/>
      <c r="U62" s="62"/>
      <c r="V62" s="62"/>
      <c r="W62" s="62"/>
      <c r="X62" s="61"/>
      <c r="Y62" s="20">
        <f>IF(ListaMB!D69&lt;&gt;"",TEXT(ListaMB!B69,"00000000"),"")</f>
      </c>
      <c r="Z62" s="20">
        <f>IF(ListaMB!D69&lt;&gt;"",ListaMB!D69,"")</f>
      </c>
      <c r="AA62" s="20">
        <f>IF(ListaMB!D69&lt;&gt;"",ListaMB!I69,"")</f>
      </c>
      <c r="AB62" s="21">
        <f>IF(ListaMB!D69&lt;&gt;"",ListaMB!K69,0)</f>
        <v>0</v>
      </c>
      <c r="AC62">
        <f t="shared" si="2"/>
        <v>0</v>
      </c>
    </row>
    <row r="63" spans="1:29" ht="12.75">
      <c r="A63" t="s">
        <v>479</v>
      </c>
      <c r="B63" s="18" t="str">
        <f>IF(ISNUMBER(VALUE(Opci!E43)),TEXT(INT(VALUE(Opci!E43)),"00000000000"),"")</f>
        <v>81744835353</v>
      </c>
      <c r="D63" s="204" t="s">
        <v>305</v>
      </c>
      <c r="E63" s="205">
        <v>2</v>
      </c>
      <c r="F63" s="205">
        <f>RDG!I23</f>
        <v>62</v>
      </c>
      <c r="G63" s="205">
        <f>IF(RDG!J23=0,"",RDG!J23)</f>
      </c>
      <c r="H63" s="206">
        <f t="shared" si="4"/>
        <v>56354.280000000006</v>
      </c>
      <c r="I63" s="205">
        <f t="shared" si="5"/>
        <v>0</v>
      </c>
      <c r="J63" s="207">
        <f>RDG!K23</f>
        <v>90894</v>
      </c>
      <c r="K63" s="208">
        <f>RDG!L23</f>
        <v>0</v>
      </c>
      <c r="L63" s="60"/>
      <c r="M63" s="62"/>
      <c r="N63" s="62"/>
      <c r="O63" s="62"/>
      <c r="P63" s="62"/>
      <c r="Q63" s="62"/>
      <c r="R63" s="62"/>
      <c r="S63" s="62"/>
      <c r="T63" s="62"/>
      <c r="U63" s="62"/>
      <c r="V63" s="62"/>
      <c r="W63" s="62"/>
      <c r="X63" s="61"/>
      <c r="Y63" s="20">
        <f>IF(ListaMB!D70&lt;&gt;"",TEXT(ListaMB!B70,"00000000"),"")</f>
      </c>
      <c r="Z63" s="20">
        <f>IF(ListaMB!D70&lt;&gt;"",ListaMB!D70,"")</f>
      </c>
      <c r="AA63" s="20">
        <f>IF(ListaMB!D70&lt;&gt;"",ListaMB!I70,"")</f>
      </c>
      <c r="AB63" s="21">
        <f>IF(ListaMB!D70&lt;&gt;"",ListaMB!K70,0)</f>
        <v>0</v>
      </c>
      <c r="AC63">
        <f t="shared" si="2"/>
        <v>0</v>
      </c>
    </row>
    <row r="64" spans="4:29" ht="12.75">
      <c r="D64" s="204" t="s">
        <v>305</v>
      </c>
      <c r="E64" s="205">
        <v>2</v>
      </c>
      <c r="F64" s="205">
        <f>RDG!I24</f>
        <v>63</v>
      </c>
      <c r="G64" s="205">
        <f>IF(RDG!J24=0,"",RDG!J24)</f>
      </c>
      <c r="H64" s="206">
        <f t="shared" si="4"/>
        <v>776472.48</v>
      </c>
      <c r="I64" s="205">
        <f t="shared" si="5"/>
        <v>0</v>
      </c>
      <c r="J64" s="207">
        <f>RDG!K24</f>
        <v>-155306</v>
      </c>
      <c r="K64" s="208">
        <f>RDG!L24</f>
        <v>693901</v>
      </c>
      <c r="L64" s="60"/>
      <c r="M64" s="62"/>
      <c r="N64" s="62"/>
      <c r="O64" s="62"/>
      <c r="P64" s="62"/>
      <c r="Q64" s="62"/>
      <c r="R64" s="62"/>
      <c r="S64" s="62"/>
      <c r="T64" s="62"/>
      <c r="U64" s="62"/>
      <c r="V64" s="62"/>
      <c r="W64" s="62"/>
      <c r="X64" s="61"/>
      <c r="Y64" s="20">
        <f>IF(ListaMB!D71&lt;&gt;"",TEXT(ListaMB!B71,"00000000"),"")</f>
      </c>
      <c r="Z64" s="20">
        <f>IF(ListaMB!D71&lt;&gt;"",ListaMB!D71,"")</f>
      </c>
      <c r="AA64" s="20">
        <f>IF(ListaMB!D71&lt;&gt;"",ListaMB!I71,"")</f>
      </c>
      <c r="AB64" s="21">
        <f>IF(ListaMB!D71&lt;&gt;"",ListaMB!K71,0)</f>
        <v>0</v>
      </c>
      <c r="AC64">
        <f t="shared" si="2"/>
        <v>0</v>
      </c>
    </row>
    <row r="65" spans="4:29" ht="12.75">
      <c r="D65" s="204" t="s">
        <v>305</v>
      </c>
      <c r="E65" s="205">
        <v>2</v>
      </c>
      <c r="F65" s="205">
        <f>RDG!I25</f>
        <v>64</v>
      </c>
      <c r="G65" s="205">
        <f>IF(RDG!J25=0,"",RDG!J25)</f>
      </c>
      <c r="H65" s="206">
        <f t="shared" si="4"/>
        <v>23596945.92</v>
      </c>
      <c r="I65" s="205">
        <f t="shared" si="5"/>
        <v>0</v>
      </c>
      <c r="J65" s="207">
        <f>RDG!K25</f>
        <v>7220558</v>
      </c>
      <c r="K65" s="208">
        <f>RDG!L25</f>
        <v>14824835</v>
      </c>
      <c r="L65" s="60"/>
      <c r="M65" s="62"/>
      <c r="N65" s="62"/>
      <c r="O65" s="62"/>
      <c r="P65" s="62"/>
      <c r="Q65" s="62"/>
      <c r="R65" s="62"/>
      <c r="S65" s="62"/>
      <c r="T65" s="62"/>
      <c r="U65" s="62"/>
      <c r="V65" s="62"/>
      <c r="W65" s="62"/>
      <c r="X65" s="61"/>
      <c r="Y65" s="20">
        <f>IF(ListaMB!D72&lt;&gt;"",TEXT(ListaMB!B72,"00000000"),"")</f>
      </c>
      <c r="Z65" s="20">
        <f>IF(ListaMB!D72&lt;&gt;"",ListaMB!D72,"")</f>
      </c>
      <c r="AA65" s="20">
        <f>IF(ListaMB!D72&lt;&gt;"",ListaMB!I72,"")</f>
      </c>
      <c r="AB65" s="21">
        <f>IF(ListaMB!D72&lt;&gt;"",ListaMB!K72,0)</f>
        <v>0</v>
      </c>
      <c r="AC65">
        <f t="shared" si="2"/>
        <v>0</v>
      </c>
    </row>
    <row r="66" spans="4:29" ht="12.75">
      <c r="D66" s="204" t="s">
        <v>305</v>
      </c>
      <c r="E66" s="205">
        <v>2</v>
      </c>
      <c r="F66" s="205">
        <f>RDG!I26</f>
        <v>65</v>
      </c>
      <c r="G66" s="205">
        <f>IF(RDG!J26=0,"",RDG!J26)</f>
      </c>
      <c r="H66" s="206">
        <f t="shared" si="4"/>
        <v>14643323.5</v>
      </c>
      <c r="I66" s="205">
        <f t="shared" si="5"/>
        <v>0</v>
      </c>
      <c r="J66" s="207">
        <f>RDG!K26</f>
        <v>6226198</v>
      </c>
      <c r="K66" s="208">
        <f>RDG!L26</f>
        <v>8150996</v>
      </c>
      <c r="L66" s="60"/>
      <c r="M66" s="62"/>
      <c r="N66" s="62"/>
      <c r="O66" s="62"/>
      <c r="P66" s="62"/>
      <c r="Q66" s="62"/>
      <c r="R66" s="62"/>
      <c r="S66" s="62"/>
      <c r="T66" s="62"/>
      <c r="U66" s="62"/>
      <c r="V66" s="62"/>
      <c r="W66" s="62"/>
      <c r="X66" s="61"/>
      <c r="Y66" s="20">
        <f>IF(ListaMB!D73&lt;&gt;"",TEXT(ListaMB!B73,"00000000"),"")</f>
      </c>
      <c r="Z66" s="20">
        <f>IF(ListaMB!D73&lt;&gt;"",ListaMB!D73,"")</f>
      </c>
      <c r="AA66" s="20">
        <f>IF(ListaMB!D73&lt;&gt;"",ListaMB!I73,"")</f>
      </c>
      <c r="AB66" s="21">
        <f>IF(ListaMB!D73&lt;&gt;"",ListaMB!K73,0)</f>
        <v>0</v>
      </c>
      <c r="AC66">
        <f t="shared" si="2"/>
        <v>0</v>
      </c>
    </row>
    <row r="67" spans="4:29" ht="12.75">
      <c r="D67" s="204" t="s">
        <v>305</v>
      </c>
      <c r="E67" s="205">
        <v>2</v>
      </c>
      <c r="F67" s="205">
        <f>RDG!I27</f>
        <v>66</v>
      </c>
      <c r="G67" s="205">
        <f>IF(RDG!J27=0,"",RDG!J27)</f>
      </c>
      <c r="H67" s="206">
        <f t="shared" si="4"/>
        <v>138311732.46</v>
      </c>
      <c r="I67" s="205">
        <f t="shared" si="5"/>
        <v>0</v>
      </c>
      <c r="J67" s="207">
        <f>RDG!K27</f>
        <v>67397067</v>
      </c>
      <c r="K67" s="208">
        <f>RDG!L27</f>
        <v>71083082</v>
      </c>
      <c r="L67" s="60"/>
      <c r="M67" s="62"/>
      <c r="N67" s="62"/>
      <c r="O67" s="62"/>
      <c r="P67" s="62"/>
      <c r="Q67" s="62"/>
      <c r="R67" s="62"/>
      <c r="S67" s="62"/>
      <c r="T67" s="62"/>
      <c r="U67" s="62"/>
      <c r="V67" s="62"/>
      <c r="W67" s="62"/>
      <c r="X67" s="61"/>
      <c r="Y67" s="20">
        <f>IF(ListaMB!D74&lt;&gt;"",TEXT(ListaMB!B74,"00000000"),"")</f>
      </c>
      <c r="Z67" s="20">
        <f>IF(ListaMB!D74&lt;&gt;"",ListaMB!D74,"")</f>
      </c>
      <c r="AA67" s="20">
        <f>IF(ListaMB!D74&lt;&gt;"",ListaMB!I74,"")</f>
      </c>
      <c r="AB67" s="21">
        <f>IF(ListaMB!D74&lt;&gt;"",ListaMB!K74,0)</f>
        <v>0</v>
      </c>
      <c r="AC67">
        <f aca="true" t="shared" si="6" ref="AC67:AC101">LEN(Y67)+LEN(Z67)+LEN(AA67)+INT(AB67)</f>
        <v>0</v>
      </c>
    </row>
    <row r="68" spans="4:29" ht="12.75">
      <c r="D68" s="204" t="s">
        <v>305</v>
      </c>
      <c r="E68" s="205">
        <v>2</v>
      </c>
      <c r="F68" s="205">
        <f>RDG!I28</f>
        <v>67</v>
      </c>
      <c r="G68" s="205">
        <f>IF(RDG!J28=0,"",RDG!J28)</f>
      </c>
      <c r="H68" s="206">
        <f t="shared" si="4"/>
        <v>-27678359.28</v>
      </c>
      <c r="I68" s="205">
        <f t="shared" si="5"/>
        <v>0</v>
      </c>
      <c r="J68" s="207">
        <f>RDG!K28</f>
        <v>-18792500</v>
      </c>
      <c r="K68" s="208">
        <f>RDG!L28</f>
        <v>-11259242</v>
      </c>
      <c r="L68" s="60"/>
      <c r="M68" s="62"/>
      <c r="N68" s="62"/>
      <c r="O68" s="62"/>
      <c r="P68" s="62"/>
      <c r="Q68" s="62"/>
      <c r="R68" s="62"/>
      <c r="S68" s="62"/>
      <c r="T68" s="62"/>
      <c r="U68" s="62"/>
      <c r="V68" s="62"/>
      <c r="W68" s="62"/>
      <c r="X68" s="61"/>
      <c r="Y68" s="20">
        <f>IF(ListaMB!D75&lt;&gt;"",TEXT(ListaMB!B75,"00000000"),"")</f>
      </c>
      <c r="Z68" s="20">
        <f>IF(ListaMB!D75&lt;&gt;"",ListaMB!D75,"")</f>
      </c>
      <c r="AA68" s="20">
        <f>IF(ListaMB!D75&lt;&gt;"",ListaMB!I75,"")</f>
      </c>
      <c r="AB68" s="21">
        <f>IF(ListaMB!D75&lt;&gt;"",ListaMB!K75,0)</f>
        <v>0</v>
      </c>
      <c r="AC68">
        <f t="shared" si="6"/>
        <v>0</v>
      </c>
    </row>
    <row r="69" spans="4:29" ht="12.75">
      <c r="D69" s="204" t="s">
        <v>305</v>
      </c>
      <c r="E69" s="205">
        <v>2</v>
      </c>
      <c r="F69" s="205">
        <f>RDG!I29</f>
        <v>68</v>
      </c>
      <c r="G69" s="205">
        <f>IF(RDG!J29=0,"",RDG!J29)</f>
      </c>
      <c r="H69" s="206">
        <f t="shared" si="4"/>
        <v>91351376.8</v>
      </c>
      <c r="I69" s="205">
        <f t="shared" si="5"/>
        <v>0</v>
      </c>
      <c r="J69" s="207">
        <f>RDG!K29</f>
        <v>107569824</v>
      </c>
      <c r="K69" s="208">
        <f>RDG!L29</f>
        <v>13385218</v>
      </c>
      <c r="L69" s="60"/>
      <c r="M69" s="62"/>
      <c r="N69" s="62"/>
      <c r="O69" s="62"/>
      <c r="P69" s="62"/>
      <c r="Q69" s="62"/>
      <c r="R69" s="62"/>
      <c r="S69" s="62"/>
      <c r="T69" s="62"/>
      <c r="U69" s="62"/>
      <c r="V69" s="62"/>
      <c r="W69" s="62"/>
      <c r="X69" s="61"/>
      <c r="Y69" s="20">
        <f>IF(ListaMB!D76&lt;&gt;"",TEXT(ListaMB!B76,"00000000"),"")</f>
      </c>
      <c r="Z69" s="20">
        <f>IF(ListaMB!D76&lt;&gt;"",ListaMB!D76,"")</f>
      </c>
      <c r="AA69" s="20">
        <f>IF(ListaMB!D76&lt;&gt;"",ListaMB!I76,"")</f>
      </c>
      <c r="AB69" s="21">
        <f>IF(ListaMB!D76&lt;&gt;"",ListaMB!K76,0)</f>
        <v>0</v>
      </c>
      <c r="AC69">
        <f t="shared" si="6"/>
        <v>0</v>
      </c>
    </row>
    <row r="70" spans="4:29" ht="12.75">
      <c r="D70" s="204" t="s">
        <v>305</v>
      </c>
      <c r="E70" s="205">
        <v>2</v>
      </c>
      <c r="F70" s="205">
        <f>RDG!I30</f>
        <v>69</v>
      </c>
      <c r="G70" s="205">
        <f>IF(RDG!J30=0,"",RDG!J30)</f>
      </c>
      <c r="H70" s="206">
        <f t="shared" si="4"/>
        <v>-121199358.36000001</v>
      </c>
      <c r="I70" s="205">
        <f t="shared" si="5"/>
        <v>0</v>
      </c>
      <c r="J70" s="207">
        <f>RDG!K30</f>
        <v>-126362324</v>
      </c>
      <c r="K70" s="208">
        <f>RDG!L30</f>
        <v>-24644460</v>
      </c>
      <c r="L70" s="60"/>
      <c r="M70" s="62"/>
      <c r="N70" s="62"/>
      <c r="O70" s="62"/>
      <c r="P70" s="62"/>
      <c r="Q70" s="62"/>
      <c r="R70" s="62"/>
      <c r="S70" s="62"/>
      <c r="T70" s="62"/>
      <c r="U70" s="62"/>
      <c r="V70" s="62"/>
      <c r="W70" s="62"/>
      <c r="X70" s="61"/>
      <c r="Y70" s="20">
        <f>IF(ListaMB!D77&lt;&gt;"",TEXT(ListaMB!B77,"00000000"),"")</f>
      </c>
      <c r="Z70" s="20">
        <f>IF(ListaMB!D77&lt;&gt;"",ListaMB!D77,"")</f>
      </c>
      <c r="AA70" s="20">
        <f>IF(ListaMB!D77&lt;&gt;"",ListaMB!I77,"")</f>
      </c>
      <c r="AB70" s="21">
        <f>IF(ListaMB!D77&lt;&gt;"",ListaMB!K77,0)</f>
        <v>0</v>
      </c>
      <c r="AC70">
        <f t="shared" si="6"/>
        <v>0</v>
      </c>
    </row>
    <row r="71" spans="4:29" ht="12.75">
      <c r="D71" s="204" t="s">
        <v>305</v>
      </c>
      <c r="E71" s="205">
        <v>2</v>
      </c>
      <c r="F71" s="205">
        <f>RDG!I31</f>
        <v>70</v>
      </c>
      <c r="G71" s="205">
        <f>IF(RDG!J31=0,"",RDG!J31)</f>
      </c>
      <c r="H71" s="206">
        <f aca="true" t="shared" si="7" ref="H71:H78">J71/100*F71+2*K71/100*F71</f>
        <v>-15932980</v>
      </c>
      <c r="I71" s="205">
        <f t="shared" si="5"/>
        <v>0</v>
      </c>
      <c r="J71" s="207">
        <f>RDG!K31</f>
        <v>-22761400</v>
      </c>
      <c r="K71" s="208">
        <f>RDG!L31</f>
        <v>0</v>
      </c>
      <c r="L71" s="60"/>
      <c r="M71" s="62"/>
      <c r="N71" s="62"/>
      <c r="O71" s="62"/>
      <c r="P71" s="62"/>
      <c r="Q71" s="62"/>
      <c r="R71" s="62"/>
      <c r="S71" s="62"/>
      <c r="T71" s="62"/>
      <c r="U71" s="62"/>
      <c r="V71" s="62"/>
      <c r="W71" s="62"/>
      <c r="X71" s="61"/>
      <c r="Y71" s="20">
        <f>IF(ListaMB!D78&lt;&gt;"",TEXT(ListaMB!B78,"00000000"),"")</f>
      </c>
      <c r="Z71" s="20">
        <f>IF(ListaMB!D78&lt;&gt;"",ListaMB!D78,"")</f>
      </c>
      <c r="AA71" s="20">
        <f>IF(ListaMB!D78&lt;&gt;"",ListaMB!I78,"")</f>
      </c>
      <c r="AB71" s="21">
        <f>IF(ListaMB!D78&lt;&gt;"",ListaMB!K78,0)</f>
        <v>0</v>
      </c>
      <c r="AC71">
        <f t="shared" si="6"/>
        <v>0</v>
      </c>
    </row>
    <row r="72" spans="4:29" ht="12.75">
      <c r="D72" s="204" t="s">
        <v>305</v>
      </c>
      <c r="E72" s="205">
        <v>2</v>
      </c>
      <c r="F72" s="205">
        <f>RDG!I32</f>
        <v>71</v>
      </c>
      <c r="G72" s="205">
        <f>IF(RDG!J32=0,"",RDG!J32)</f>
      </c>
      <c r="H72" s="206">
        <f t="shared" si="7"/>
        <v>-108551789.24000001</v>
      </c>
      <c r="I72" s="205">
        <f t="shared" si="5"/>
        <v>0</v>
      </c>
      <c r="J72" s="207">
        <f>RDG!K32</f>
        <v>-103600924</v>
      </c>
      <c r="K72" s="208">
        <f>RDG!L32</f>
        <v>-24644460</v>
      </c>
      <c r="L72" s="60"/>
      <c r="M72" s="62"/>
      <c r="N72" s="62"/>
      <c r="O72" s="62"/>
      <c r="P72" s="62"/>
      <c r="Q72" s="62"/>
      <c r="R72" s="62"/>
      <c r="S72" s="62"/>
      <c r="T72" s="62"/>
      <c r="U72" s="62"/>
      <c r="V72" s="62"/>
      <c r="W72" s="62"/>
      <c r="X72" s="61"/>
      <c r="Y72" s="20">
        <f>IF(ListaMB!D79&lt;&gt;"",TEXT(ListaMB!B79,"00000000"),"")</f>
      </c>
      <c r="Z72" s="20">
        <f>IF(ListaMB!D79&lt;&gt;"",ListaMB!D79,"")</f>
      </c>
      <c r="AA72" s="20">
        <f>IF(ListaMB!D79&lt;&gt;"",ListaMB!I79,"")</f>
      </c>
      <c r="AB72" s="21">
        <f>IF(ListaMB!D79&lt;&gt;"",ListaMB!K79,0)</f>
        <v>0</v>
      </c>
      <c r="AC72">
        <f t="shared" si="6"/>
        <v>0</v>
      </c>
    </row>
    <row r="73" spans="4:29" ht="12.75">
      <c r="D73" s="204" t="s">
        <v>305</v>
      </c>
      <c r="E73" s="205">
        <v>2</v>
      </c>
      <c r="F73" s="205">
        <f>RDG!I33</f>
        <v>72</v>
      </c>
      <c r="G73" s="205">
        <f>IF(RDG!J33=0,"",RDG!J33)</f>
      </c>
      <c r="H73" s="206">
        <f t="shared" si="7"/>
        <v>0</v>
      </c>
      <c r="I73" s="205">
        <f t="shared" si="5"/>
        <v>0</v>
      </c>
      <c r="J73" s="207">
        <f>RDG!K33</f>
        <v>0</v>
      </c>
      <c r="K73" s="208">
        <f>RDG!L33</f>
        <v>0</v>
      </c>
      <c r="L73" s="60"/>
      <c r="M73" s="62"/>
      <c r="N73" s="62"/>
      <c r="O73" s="62"/>
      <c r="P73" s="62"/>
      <c r="Q73" s="62"/>
      <c r="R73" s="62"/>
      <c r="S73" s="62"/>
      <c r="T73" s="62"/>
      <c r="U73" s="62"/>
      <c r="V73" s="62"/>
      <c r="W73" s="62"/>
      <c r="X73" s="61"/>
      <c r="Y73" s="20">
        <f>IF(ListaMB!D80&lt;&gt;"",TEXT(ListaMB!B80,"00000000"),"")</f>
      </c>
      <c r="Z73" s="20">
        <f>IF(ListaMB!D80&lt;&gt;"",ListaMB!D80,"")</f>
      </c>
      <c r="AA73" s="20">
        <f>IF(ListaMB!D80&lt;&gt;"",ListaMB!I80,"")</f>
      </c>
      <c r="AB73" s="21">
        <f>IF(ListaMB!D80&lt;&gt;"",ListaMB!K80,0)</f>
        <v>0</v>
      </c>
      <c r="AC73">
        <f t="shared" si="6"/>
        <v>0</v>
      </c>
    </row>
    <row r="74" spans="4:29" ht="12.75">
      <c r="D74" s="204" t="s">
        <v>305</v>
      </c>
      <c r="E74" s="205">
        <v>2</v>
      </c>
      <c r="F74" s="205">
        <f>RDG!I35</f>
        <v>73</v>
      </c>
      <c r="G74" s="205">
        <f>IF(RDG!J35=0,"",RDG!J35)</f>
      </c>
      <c r="H74" s="206">
        <f t="shared" si="7"/>
        <v>0</v>
      </c>
      <c r="I74" s="205">
        <f t="shared" si="5"/>
        <v>0</v>
      </c>
      <c r="J74" s="207">
        <f>RDG!K35</f>
        <v>0</v>
      </c>
      <c r="K74" s="208">
        <f>RDG!L35</f>
        <v>0</v>
      </c>
      <c r="L74" s="60"/>
      <c r="M74" s="62"/>
      <c r="N74" s="62"/>
      <c r="O74" s="62"/>
      <c r="P74" s="62"/>
      <c r="Q74" s="62"/>
      <c r="R74" s="62"/>
      <c r="S74" s="62"/>
      <c r="T74" s="62"/>
      <c r="U74" s="62"/>
      <c r="V74" s="62"/>
      <c r="W74" s="62"/>
      <c r="X74" s="61"/>
      <c r="Y74" s="20">
        <f>IF(ListaMB!D81&lt;&gt;"",TEXT(ListaMB!B81,"00000000"),"")</f>
      </c>
      <c r="Z74" s="20">
        <f>IF(ListaMB!D81&lt;&gt;"",ListaMB!D81,"")</f>
      </c>
      <c r="AA74" s="20">
        <f>IF(ListaMB!D81&lt;&gt;"",ListaMB!I81,"")</f>
      </c>
      <c r="AB74" s="21">
        <f>IF(ListaMB!D81&lt;&gt;"",ListaMB!K81,0)</f>
        <v>0</v>
      </c>
      <c r="AC74">
        <f t="shared" si="6"/>
        <v>0</v>
      </c>
    </row>
    <row r="75" spans="4:29" ht="12.75">
      <c r="D75" s="204" t="s">
        <v>305</v>
      </c>
      <c r="E75" s="205">
        <v>2</v>
      </c>
      <c r="F75" s="205">
        <f>RDG!I36</f>
        <v>74</v>
      </c>
      <c r="G75" s="205">
        <f>IF(RDG!J36=0,"",RDG!J36)</f>
      </c>
      <c r="H75" s="206">
        <f t="shared" si="7"/>
        <v>0</v>
      </c>
      <c r="I75" s="205">
        <f t="shared" si="5"/>
        <v>0</v>
      </c>
      <c r="J75" s="207">
        <f>RDG!K36</f>
        <v>0</v>
      </c>
      <c r="K75" s="208">
        <f>RDG!L36</f>
        <v>0</v>
      </c>
      <c r="L75" s="60"/>
      <c r="M75" s="62"/>
      <c r="N75" s="62"/>
      <c r="O75" s="62"/>
      <c r="P75" s="62"/>
      <c r="Q75" s="62"/>
      <c r="R75" s="62"/>
      <c r="S75" s="62"/>
      <c r="T75" s="62"/>
      <c r="U75" s="62"/>
      <c r="V75" s="62"/>
      <c r="W75" s="62"/>
      <c r="X75" s="61"/>
      <c r="Y75" s="20">
        <f>IF(ListaMB!D82&lt;&gt;"",TEXT(ListaMB!B82,"00000000"),"")</f>
      </c>
      <c r="Z75" s="20">
        <f>IF(ListaMB!D82&lt;&gt;"",ListaMB!D82,"")</f>
      </c>
      <c r="AA75" s="20">
        <f>IF(ListaMB!D82&lt;&gt;"",ListaMB!I82,"")</f>
      </c>
      <c r="AB75" s="21">
        <f>IF(ListaMB!D82&lt;&gt;"",ListaMB!K82,0)</f>
        <v>0</v>
      </c>
      <c r="AC75">
        <f t="shared" si="6"/>
        <v>0</v>
      </c>
    </row>
    <row r="76" spans="4:29" ht="12.75">
      <c r="D76" s="209" t="s">
        <v>305</v>
      </c>
      <c r="E76" s="210">
        <v>2</v>
      </c>
      <c r="F76" s="210">
        <f>RDG!I37</f>
        <v>75</v>
      </c>
      <c r="G76" s="210">
        <f>IF(RDG!J37=0,"",RDG!J37)</f>
      </c>
      <c r="H76" s="211">
        <f t="shared" si="7"/>
        <v>0</v>
      </c>
      <c r="I76" s="210">
        <f t="shared" si="5"/>
        <v>0</v>
      </c>
      <c r="J76" s="212">
        <f>RDG!K37</f>
        <v>0</v>
      </c>
      <c r="K76" s="213">
        <f>RDG!L37</f>
        <v>0</v>
      </c>
      <c r="L76" s="60"/>
      <c r="M76" s="62"/>
      <c r="N76" s="62"/>
      <c r="O76" s="62"/>
      <c r="P76" s="62"/>
      <c r="Q76" s="62"/>
      <c r="R76" s="62"/>
      <c r="S76" s="62"/>
      <c r="T76" s="62"/>
      <c r="U76" s="62"/>
      <c r="V76" s="62"/>
      <c r="W76" s="62"/>
      <c r="X76" s="61"/>
      <c r="Y76" s="20">
        <f>IF(ListaMB!D83&lt;&gt;"",TEXT(ListaMB!B83,"00000000"),"")</f>
      </c>
      <c r="Z76" s="20">
        <f>IF(ListaMB!D83&lt;&gt;"",ListaMB!D83,"")</f>
      </c>
      <c r="AA76" s="20">
        <f>IF(ListaMB!D83&lt;&gt;"",ListaMB!I83,"")</f>
      </c>
      <c r="AB76" s="21">
        <f>IF(ListaMB!D83&lt;&gt;"",ListaMB!K83,0)</f>
        <v>0</v>
      </c>
      <c r="AC76">
        <f t="shared" si="6"/>
        <v>0</v>
      </c>
    </row>
    <row r="77" spans="4:29" ht="12.75">
      <c r="D77" s="185" t="s">
        <v>1091</v>
      </c>
      <c r="E77" s="186">
        <v>3</v>
      </c>
      <c r="F77" s="186">
        <f>BanDop!J10</f>
        <v>76</v>
      </c>
      <c r="G77" s="186"/>
      <c r="H77" s="187">
        <f t="shared" si="7"/>
        <v>0</v>
      </c>
      <c r="I77" s="186">
        <f>ABS(ROUND(J77,0)-J77)+ABS(ROUND(K77,0)-K77)</f>
        <v>0</v>
      </c>
      <c r="J77" s="214">
        <f>BanDop!K10</f>
        <v>0</v>
      </c>
      <c r="K77" s="188">
        <f>BanDop!L10</f>
        <v>0</v>
      </c>
      <c r="L77" s="60"/>
      <c r="M77" s="62"/>
      <c r="N77" s="62"/>
      <c r="O77" s="62"/>
      <c r="P77" s="62"/>
      <c r="Q77" s="62"/>
      <c r="R77" s="62"/>
      <c r="S77" s="62"/>
      <c r="T77" s="62"/>
      <c r="U77" s="62"/>
      <c r="V77" s="62"/>
      <c r="W77" s="62"/>
      <c r="X77" s="61"/>
      <c r="Y77" s="20">
        <f>IF(ListaMB!D84&lt;&gt;"",TEXT(ListaMB!B84,"00000000"),"")</f>
      </c>
      <c r="Z77" s="20">
        <f>IF(ListaMB!D84&lt;&gt;"",ListaMB!D84,"")</f>
      </c>
      <c r="AA77" s="20">
        <f>IF(ListaMB!D84&lt;&gt;"",ListaMB!I84,"")</f>
      </c>
      <c r="AB77" s="21">
        <f>IF(ListaMB!D84&lt;&gt;"",ListaMB!K84,0)</f>
        <v>0</v>
      </c>
      <c r="AC77">
        <f t="shared" si="6"/>
        <v>0</v>
      </c>
    </row>
    <row r="78" spans="4:29" ht="12.75">
      <c r="D78" s="189" t="s">
        <v>1091</v>
      </c>
      <c r="E78" s="190">
        <v>3</v>
      </c>
      <c r="F78" s="190">
        <f>BanDop!J11</f>
        <v>77</v>
      </c>
      <c r="G78" s="190"/>
      <c r="H78" s="191">
        <f t="shared" si="7"/>
        <v>0</v>
      </c>
      <c r="I78" s="190">
        <f>ABS(ROUND(J78,0)-J78)+ABS(ROUND(K78,0)-K78)</f>
        <v>0</v>
      </c>
      <c r="J78" s="215">
        <f>BanDop!K11</f>
        <v>0</v>
      </c>
      <c r="K78" s="192">
        <f>BanDop!L11</f>
        <v>0</v>
      </c>
      <c r="L78" s="60"/>
      <c r="M78" s="62"/>
      <c r="N78" s="62"/>
      <c r="O78" s="62"/>
      <c r="P78" s="62"/>
      <c r="Q78" s="62"/>
      <c r="R78" s="62"/>
      <c r="S78" s="62"/>
      <c r="T78" s="62"/>
      <c r="U78" s="62"/>
      <c r="V78" s="62"/>
      <c r="W78" s="62"/>
      <c r="X78" s="61"/>
      <c r="Y78" s="20">
        <f>IF(ListaMB!D85&lt;&gt;"",TEXT(ListaMB!B85,"00000000"),"")</f>
      </c>
      <c r="Z78" s="20">
        <f>IF(ListaMB!D85&lt;&gt;"",ListaMB!D85,"")</f>
      </c>
      <c r="AA78" s="20">
        <f>IF(ListaMB!D85&lt;&gt;"",ListaMB!I85,"")</f>
      </c>
      <c r="AB78" s="21">
        <f>IF(ListaMB!D85&lt;&gt;"",ListaMB!K85,0)</f>
        <v>0</v>
      </c>
      <c r="AC78">
        <f t="shared" si="6"/>
        <v>0</v>
      </c>
    </row>
    <row r="79" spans="4:29" ht="12.75">
      <c r="D79" s="189" t="s">
        <v>1091</v>
      </c>
      <c r="E79" s="190">
        <v>3</v>
      </c>
      <c r="F79" s="190">
        <f>BanDop!J12</f>
        <v>78</v>
      </c>
      <c r="G79" s="190"/>
      <c r="H79" s="191">
        <f aca="true" t="shared" si="8" ref="H79:H140">J79/100*F79+2*K79/100*F79</f>
        <v>0</v>
      </c>
      <c r="I79" s="190">
        <f aca="true" t="shared" si="9" ref="I79:I140">ABS(ROUND(J79,0)-J79)+ABS(ROUND(K79,0)-K79)</f>
        <v>0</v>
      </c>
      <c r="J79" s="215">
        <f>BanDop!K12</f>
        <v>0</v>
      </c>
      <c r="K79" s="192">
        <f>BanDop!L12</f>
        <v>0</v>
      </c>
      <c r="L79" s="60"/>
      <c r="M79" s="62"/>
      <c r="N79" s="62"/>
      <c r="O79" s="62"/>
      <c r="P79" s="62"/>
      <c r="Q79" s="62"/>
      <c r="R79" s="62"/>
      <c r="S79" s="62"/>
      <c r="T79" s="62"/>
      <c r="U79" s="62"/>
      <c r="V79" s="62"/>
      <c r="W79" s="62"/>
      <c r="X79" s="61"/>
      <c r="Y79" s="20">
        <f>IF(ListaMB!D86&lt;&gt;"",TEXT(ListaMB!B86,"00000000"),"")</f>
      </c>
      <c r="Z79" s="20">
        <f>IF(ListaMB!D86&lt;&gt;"",ListaMB!D86,"")</f>
      </c>
      <c r="AA79" s="20">
        <f>IF(ListaMB!D86&lt;&gt;"",ListaMB!I86,"")</f>
      </c>
      <c r="AB79" s="21">
        <f>IF(ListaMB!D86&lt;&gt;"",ListaMB!K86,0)</f>
        <v>0</v>
      </c>
      <c r="AC79">
        <f t="shared" si="6"/>
        <v>0</v>
      </c>
    </row>
    <row r="80" spans="4:29" ht="12.75">
      <c r="D80" s="189" t="s">
        <v>1091</v>
      </c>
      <c r="E80" s="190">
        <v>3</v>
      </c>
      <c r="F80" s="190">
        <f>BanDop!J13</f>
        <v>79</v>
      </c>
      <c r="G80" s="190"/>
      <c r="H80" s="191">
        <f t="shared" si="8"/>
        <v>0</v>
      </c>
      <c r="I80" s="190">
        <f t="shared" si="9"/>
        <v>0</v>
      </c>
      <c r="J80" s="215">
        <f>BanDop!K13</f>
        <v>0</v>
      </c>
      <c r="K80" s="192">
        <f>BanDop!L13</f>
        <v>0</v>
      </c>
      <c r="L80" s="60"/>
      <c r="M80" s="62"/>
      <c r="N80" s="62"/>
      <c r="O80" s="62"/>
      <c r="P80" s="62"/>
      <c r="Q80" s="62"/>
      <c r="R80" s="62"/>
      <c r="S80" s="62"/>
      <c r="T80" s="62"/>
      <c r="U80" s="62"/>
      <c r="V80" s="62"/>
      <c r="W80" s="62"/>
      <c r="X80" s="61"/>
      <c r="Y80" s="20">
        <f>IF(ListaMB!D87&lt;&gt;"",TEXT(ListaMB!B87,"00000000"),"")</f>
      </c>
      <c r="Z80" s="20">
        <f>IF(ListaMB!D87&lt;&gt;"",ListaMB!D87,"")</f>
      </c>
      <c r="AA80" s="20">
        <f>IF(ListaMB!D87&lt;&gt;"",ListaMB!I87,"")</f>
      </c>
      <c r="AB80" s="21">
        <f>IF(ListaMB!D87&lt;&gt;"",ListaMB!K87,0)</f>
        <v>0</v>
      </c>
      <c r="AC80">
        <f t="shared" si="6"/>
        <v>0</v>
      </c>
    </row>
    <row r="81" spans="4:29" ht="12.75">
      <c r="D81" s="189" t="s">
        <v>1091</v>
      </c>
      <c r="E81" s="190">
        <v>3</v>
      </c>
      <c r="F81" s="190">
        <f>BanDop!J14</f>
        <v>80</v>
      </c>
      <c r="G81" s="190"/>
      <c r="H81" s="191">
        <f t="shared" si="8"/>
        <v>0</v>
      </c>
      <c r="I81" s="190">
        <f t="shared" si="9"/>
        <v>0</v>
      </c>
      <c r="J81" s="215">
        <f>BanDop!K14</f>
        <v>0</v>
      </c>
      <c r="K81" s="192">
        <f>BanDop!L14</f>
        <v>0</v>
      </c>
      <c r="L81" s="60"/>
      <c r="M81" s="62"/>
      <c r="N81" s="62"/>
      <c r="O81" s="62"/>
      <c r="P81" s="62"/>
      <c r="Q81" s="62"/>
      <c r="R81" s="62"/>
      <c r="S81" s="62"/>
      <c r="T81" s="62"/>
      <c r="U81" s="62"/>
      <c r="V81" s="62"/>
      <c r="W81" s="62"/>
      <c r="X81" s="61"/>
      <c r="Y81" s="20">
        <f>IF(ListaMB!D88&lt;&gt;"",TEXT(ListaMB!B88,"00000000"),"")</f>
      </c>
      <c r="Z81" s="20">
        <f>IF(ListaMB!D88&lt;&gt;"",ListaMB!D88,"")</f>
      </c>
      <c r="AA81" s="20">
        <f>IF(ListaMB!D88&lt;&gt;"",ListaMB!I88,"")</f>
      </c>
      <c r="AB81" s="21">
        <f>IF(ListaMB!D88&lt;&gt;"",ListaMB!K88,0)</f>
        <v>0</v>
      </c>
      <c r="AC81">
        <f t="shared" si="6"/>
        <v>0</v>
      </c>
    </row>
    <row r="82" spans="4:29" ht="12.75">
      <c r="D82" s="189" t="s">
        <v>1091</v>
      </c>
      <c r="E82" s="190">
        <v>3</v>
      </c>
      <c r="F82" s="190">
        <f>BanDop!J15</f>
        <v>81</v>
      </c>
      <c r="G82" s="190"/>
      <c r="H82" s="191">
        <f t="shared" si="8"/>
        <v>0</v>
      </c>
      <c r="I82" s="190">
        <f t="shared" si="9"/>
        <v>0</v>
      </c>
      <c r="J82" s="215">
        <f>BanDop!K15</f>
        <v>0</v>
      </c>
      <c r="K82" s="192">
        <f>BanDop!L15</f>
        <v>0</v>
      </c>
      <c r="L82" s="60"/>
      <c r="M82" s="62"/>
      <c r="N82" s="62"/>
      <c r="O82" s="62"/>
      <c r="P82" s="62"/>
      <c r="Q82" s="62"/>
      <c r="R82" s="62"/>
      <c r="S82" s="62"/>
      <c r="T82" s="62"/>
      <c r="U82" s="62"/>
      <c r="V82" s="62"/>
      <c r="W82" s="62"/>
      <c r="X82" s="61"/>
      <c r="Y82" s="20">
        <f>IF(ListaMB!D89&lt;&gt;"",TEXT(ListaMB!B89,"00000000"),"")</f>
      </c>
      <c r="Z82" s="20">
        <f>IF(ListaMB!D89&lt;&gt;"",ListaMB!D89,"")</f>
      </c>
      <c r="AA82" s="20">
        <f>IF(ListaMB!D89&lt;&gt;"",ListaMB!I89,"")</f>
      </c>
      <c r="AB82" s="21">
        <f>IF(ListaMB!D89&lt;&gt;"",ListaMB!K89,0)</f>
        <v>0</v>
      </c>
      <c r="AC82">
        <f t="shared" si="6"/>
        <v>0</v>
      </c>
    </row>
    <row r="83" spans="4:29" ht="12.75">
      <c r="D83" s="189" t="s">
        <v>1091</v>
      </c>
      <c r="E83" s="190">
        <v>3</v>
      </c>
      <c r="F83" s="190">
        <f>BanDop!J16</f>
        <v>82</v>
      </c>
      <c r="G83" s="190"/>
      <c r="H83" s="191">
        <f t="shared" si="8"/>
        <v>0</v>
      </c>
      <c r="I83" s="190">
        <f t="shared" si="9"/>
        <v>0</v>
      </c>
      <c r="J83" s="215">
        <f>BanDop!K16</f>
        <v>0</v>
      </c>
      <c r="K83" s="192">
        <f>BanDop!L16</f>
        <v>0</v>
      </c>
      <c r="L83" s="60"/>
      <c r="M83" s="62"/>
      <c r="N83" s="62"/>
      <c r="O83" s="62"/>
      <c r="P83" s="62"/>
      <c r="Q83" s="62"/>
      <c r="R83" s="62"/>
      <c r="S83" s="62"/>
      <c r="T83" s="62"/>
      <c r="U83" s="62"/>
      <c r="V83" s="62"/>
      <c r="W83" s="62"/>
      <c r="X83" s="61"/>
      <c r="Y83" s="20">
        <f>IF(ListaMB!D90&lt;&gt;"",TEXT(ListaMB!B90,"00000000"),"")</f>
      </c>
      <c r="Z83" s="20">
        <f>IF(ListaMB!D90&lt;&gt;"",ListaMB!D90,"")</f>
      </c>
      <c r="AA83" s="20">
        <f>IF(ListaMB!D90&lt;&gt;"",ListaMB!I90,"")</f>
      </c>
      <c r="AB83" s="21">
        <f>IF(ListaMB!D90&lt;&gt;"",ListaMB!K90,0)</f>
        <v>0</v>
      </c>
      <c r="AC83">
        <f t="shared" si="6"/>
        <v>0</v>
      </c>
    </row>
    <row r="84" spans="4:29" ht="12.75">
      <c r="D84" s="189" t="s">
        <v>1091</v>
      </c>
      <c r="E84" s="190">
        <v>3</v>
      </c>
      <c r="F84" s="190">
        <f>BanDop!J17</f>
        <v>83</v>
      </c>
      <c r="G84" s="190"/>
      <c r="H84" s="191">
        <f t="shared" si="8"/>
        <v>0</v>
      </c>
      <c r="I84" s="190">
        <f t="shared" si="9"/>
        <v>0</v>
      </c>
      <c r="J84" s="215">
        <f>BanDop!K17</f>
        <v>0</v>
      </c>
      <c r="K84" s="192">
        <f>BanDop!L17</f>
        <v>0</v>
      </c>
      <c r="L84" s="60"/>
      <c r="M84" s="62"/>
      <c r="N84" s="62"/>
      <c r="O84" s="62"/>
      <c r="P84" s="62"/>
      <c r="Q84" s="62"/>
      <c r="R84" s="62"/>
      <c r="S84" s="62"/>
      <c r="T84" s="62"/>
      <c r="U84" s="62"/>
      <c r="V84" s="62"/>
      <c r="W84" s="62"/>
      <c r="X84" s="61"/>
      <c r="Y84" s="20">
        <f>IF(ListaMB!D91&lt;&gt;"",TEXT(ListaMB!B91,"00000000"),"")</f>
      </c>
      <c r="Z84" s="20">
        <f>IF(ListaMB!D91&lt;&gt;"",ListaMB!D91,"")</f>
      </c>
      <c r="AA84" s="20">
        <f>IF(ListaMB!D91&lt;&gt;"",ListaMB!I91,"")</f>
      </c>
      <c r="AB84" s="21">
        <f>IF(ListaMB!D91&lt;&gt;"",ListaMB!K91,0)</f>
        <v>0</v>
      </c>
      <c r="AC84">
        <f t="shared" si="6"/>
        <v>0</v>
      </c>
    </row>
    <row r="85" spans="4:29" ht="12.75">
      <c r="D85" s="189" t="s">
        <v>1091</v>
      </c>
      <c r="E85" s="190">
        <v>3</v>
      </c>
      <c r="F85" s="190">
        <f>BanDop!J18</f>
        <v>84</v>
      </c>
      <c r="G85" s="190"/>
      <c r="H85" s="191">
        <f t="shared" si="8"/>
        <v>0</v>
      </c>
      <c r="I85" s="190">
        <f t="shared" si="9"/>
        <v>0</v>
      </c>
      <c r="J85" s="215">
        <f>BanDop!K18</f>
        <v>0</v>
      </c>
      <c r="K85" s="192">
        <f>BanDop!L18</f>
        <v>0</v>
      </c>
      <c r="L85" s="60"/>
      <c r="M85" s="62"/>
      <c r="N85" s="62"/>
      <c r="O85" s="62"/>
      <c r="P85" s="62"/>
      <c r="Q85" s="62"/>
      <c r="R85" s="62"/>
      <c r="S85" s="62"/>
      <c r="T85" s="62"/>
      <c r="U85" s="62"/>
      <c r="V85" s="62"/>
      <c r="W85" s="62"/>
      <c r="X85" s="61"/>
      <c r="Y85" s="20">
        <f>IF(ListaMB!D92&lt;&gt;"",TEXT(ListaMB!B92,"00000000"),"")</f>
      </c>
      <c r="Z85" s="20">
        <f>IF(ListaMB!D92&lt;&gt;"",ListaMB!D92,"")</f>
      </c>
      <c r="AA85" s="20">
        <f>IF(ListaMB!D92&lt;&gt;"",ListaMB!I92,"")</f>
      </c>
      <c r="AB85" s="21">
        <f>IF(ListaMB!D92&lt;&gt;"",ListaMB!K92,0)</f>
        <v>0</v>
      </c>
      <c r="AC85">
        <f t="shared" si="6"/>
        <v>0</v>
      </c>
    </row>
    <row r="86" spans="4:29" ht="12.75">
      <c r="D86" s="189" t="s">
        <v>1091</v>
      </c>
      <c r="E86" s="190">
        <v>3</v>
      </c>
      <c r="F86" s="190">
        <f>BanDop!J19</f>
        <v>85</v>
      </c>
      <c r="G86" s="190"/>
      <c r="H86" s="191">
        <f t="shared" si="8"/>
        <v>0</v>
      </c>
      <c r="I86" s="190">
        <f t="shared" si="9"/>
        <v>0</v>
      </c>
      <c r="J86" s="215">
        <f>BanDop!K19</f>
        <v>0</v>
      </c>
      <c r="K86" s="192">
        <f>BanDop!L19</f>
        <v>0</v>
      </c>
      <c r="L86" s="60"/>
      <c r="M86" s="62"/>
      <c r="N86" s="62"/>
      <c r="O86" s="62"/>
      <c r="P86" s="62"/>
      <c r="Q86" s="62"/>
      <c r="R86" s="62"/>
      <c r="S86" s="62"/>
      <c r="T86" s="62"/>
      <c r="U86" s="62"/>
      <c r="V86" s="62"/>
      <c r="W86" s="62"/>
      <c r="X86" s="61"/>
      <c r="Y86" s="20">
        <f>IF(ListaMB!D93&lt;&gt;"",TEXT(ListaMB!B93,"00000000"),"")</f>
      </c>
      <c r="Z86" s="20">
        <f>IF(ListaMB!D93&lt;&gt;"",ListaMB!D93,"")</f>
      </c>
      <c r="AA86" s="20">
        <f>IF(ListaMB!D93&lt;&gt;"",ListaMB!I93,"")</f>
      </c>
      <c r="AB86" s="21">
        <f>IF(ListaMB!D93&lt;&gt;"",ListaMB!K93,0)</f>
        <v>0</v>
      </c>
      <c r="AC86">
        <f t="shared" si="6"/>
        <v>0</v>
      </c>
    </row>
    <row r="87" spans="4:29" ht="12.75">
      <c r="D87" s="189" t="s">
        <v>1091</v>
      </c>
      <c r="E87" s="190">
        <v>3</v>
      </c>
      <c r="F87" s="190">
        <f>BanDop!J20</f>
        <v>86</v>
      </c>
      <c r="G87" s="190"/>
      <c r="H87" s="191">
        <f t="shared" si="8"/>
        <v>0</v>
      </c>
      <c r="I87" s="190">
        <f t="shared" si="9"/>
        <v>0</v>
      </c>
      <c r="J87" s="215">
        <f>BanDop!K20</f>
        <v>0</v>
      </c>
      <c r="K87" s="192">
        <f>BanDop!L20</f>
        <v>0</v>
      </c>
      <c r="L87" s="60"/>
      <c r="M87" s="62"/>
      <c r="N87" s="62"/>
      <c r="O87" s="62"/>
      <c r="P87" s="62"/>
      <c r="Q87" s="62"/>
      <c r="R87" s="62"/>
      <c r="S87" s="62"/>
      <c r="T87" s="62"/>
      <c r="U87" s="62"/>
      <c r="V87" s="62"/>
      <c r="W87" s="62"/>
      <c r="X87" s="61"/>
      <c r="Y87" s="20">
        <f>IF(ListaMB!D94&lt;&gt;"",TEXT(ListaMB!B94,"00000000"),"")</f>
      </c>
      <c r="Z87" s="20">
        <f>IF(ListaMB!D94&lt;&gt;"",ListaMB!D94,"")</f>
      </c>
      <c r="AA87" s="20">
        <f>IF(ListaMB!D94&lt;&gt;"",ListaMB!I94,"")</f>
      </c>
      <c r="AB87" s="21">
        <f>IF(ListaMB!D94&lt;&gt;"",ListaMB!K94,0)</f>
        <v>0</v>
      </c>
      <c r="AC87">
        <f t="shared" si="6"/>
        <v>0</v>
      </c>
    </row>
    <row r="88" spans="4:29" ht="12.75">
      <c r="D88" s="189" t="s">
        <v>1091</v>
      </c>
      <c r="E88" s="190">
        <v>3</v>
      </c>
      <c r="F88" s="190">
        <f>BanDop!J21</f>
        <v>87</v>
      </c>
      <c r="G88" s="190"/>
      <c r="H88" s="191">
        <f t="shared" si="8"/>
        <v>0</v>
      </c>
      <c r="I88" s="190">
        <f t="shared" si="9"/>
        <v>0</v>
      </c>
      <c r="J88" s="215">
        <f>BanDop!K21</f>
        <v>0</v>
      </c>
      <c r="K88" s="192">
        <f>BanDop!L21</f>
        <v>0</v>
      </c>
      <c r="L88" s="60"/>
      <c r="M88" s="62"/>
      <c r="N88" s="62"/>
      <c r="O88" s="62"/>
      <c r="P88" s="62"/>
      <c r="Q88" s="62"/>
      <c r="R88" s="62"/>
      <c r="S88" s="62"/>
      <c r="T88" s="62"/>
      <c r="U88" s="62"/>
      <c r="V88" s="62"/>
      <c r="W88" s="62"/>
      <c r="X88" s="61"/>
      <c r="Y88" s="20">
        <f>IF(ListaMB!D95&lt;&gt;"",TEXT(ListaMB!B95,"00000000"),"")</f>
      </c>
      <c r="Z88" s="20">
        <f>IF(ListaMB!D95&lt;&gt;"",ListaMB!D95,"")</f>
      </c>
      <c r="AA88" s="20">
        <f>IF(ListaMB!D95&lt;&gt;"",ListaMB!I95,"")</f>
      </c>
      <c r="AB88" s="21">
        <f>IF(ListaMB!D95&lt;&gt;"",ListaMB!K95,0)</f>
        <v>0</v>
      </c>
      <c r="AC88">
        <f t="shared" si="6"/>
        <v>0</v>
      </c>
    </row>
    <row r="89" spans="4:29" ht="12.75">
      <c r="D89" s="189" t="s">
        <v>1091</v>
      </c>
      <c r="E89" s="190">
        <v>3</v>
      </c>
      <c r="F89" s="190">
        <f>BanDop!J23</f>
        <v>88</v>
      </c>
      <c r="G89" s="190"/>
      <c r="H89" s="191">
        <f t="shared" si="8"/>
        <v>0</v>
      </c>
      <c r="I89" s="190">
        <f t="shared" si="9"/>
        <v>0</v>
      </c>
      <c r="J89" s="215">
        <f>BanDop!K23</f>
        <v>0</v>
      </c>
      <c r="K89" s="192">
        <f>BanDop!L23</f>
        <v>0</v>
      </c>
      <c r="L89" s="60"/>
      <c r="M89" s="62"/>
      <c r="N89" s="62"/>
      <c r="O89" s="62"/>
      <c r="P89" s="62"/>
      <c r="Q89" s="62"/>
      <c r="R89" s="62"/>
      <c r="S89" s="62"/>
      <c r="T89" s="62"/>
      <c r="U89" s="62"/>
      <c r="V89" s="62"/>
      <c r="W89" s="62"/>
      <c r="X89" s="61"/>
      <c r="Y89" s="20">
        <f>IF(ListaMB!D96&lt;&gt;"",TEXT(ListaMB!B96,"00000000"),"")</f>
      </c>
      <c r="Z89" s="20">
        <f>IF(ListaMB!D96&lt;&gt;"",ListaMB!D96,"")</f>
      </c>
      <c r="AA89" s="20">
        <f>IF(ListaMB!D96&lt;&gt;"",ListaMB!I96,"")</f>
      </c>
      <c r="AB89" s="21">
        <f>IF(ListaMB!D96&lt;&gt;"",ListaMB!K96,0)</f>
        <v>0</v>
      </c>
      <c r="AC89">
        <f t="shared" si="6"/>
        <v>0</v>
      </c>
    </row>
    <row r="90" spans="4:29" ht="12.75">
      <c r="D90" s="189" t="s">
        <v>1091</v>
      </c>
      <c r="E90" s="190">
        <v>3</v>
      </c>
      <c r="F90" s="190">
        <f>BanDop!J24</f>
        <v>89</v>
      </c>
      <c r="G90" s="190"/>
      <c r="H90" s="191">
        <f t="shared" si="8"/>
        <v>0</v>
      </c>
      <c r="I90" s="190">
        <f t="shared" si="9"/>
        <v>0</v>
      </c>
      <c r="J90" s="215">
        <f>BanDop!K24</f>
        <v>0</v>
      </c>
      <c r="K90" s="192">
        <f>BanDop!L24</f>
        <v>0</v>
      </c>
      <c r="L90" s="60"/>
      <c r="M90" s="62"/>
      <c r="N90" s="62"/>
      <c r="O90" s="62"/>
      <c r="P90" s="62"/>
      <c r="Q90" s="62"/>
      <c r="R90" s="62"/>
      <c r="S90" s="62"/>
      <c r="T90" s="62"/>
      <c r="U90" s="62"/>
      <c r="V90" s="62"/>
      <c r="W90" s="62"/>
      <c r="X90" s="61"/>
      <c r="Y90" s="20">
        <f>IF(ListaMB!D97&lt;&gt;"",TEXT(ListaMB!B97,"00000000"),"")</f>
      </c>
      <c r="Z90" s="20">
        <f>IF(ListaMB!D97&lt;&gt;"",ListaMB!D97,"")</f>
      </c>
      <c r="AA90" s="20">
        <f>IF(ListaMB!D97&lt;&gt;"",ListaMB!I97,"")</f>
      </c>
      <c r="AB90" s="21">
        <f>IF(ListaMB!D97&lt;&gt;"",ListaMB!K97,0)</f>
        <v>0</v>
      </c>
      <c r="AC90">
        <f t="shared" si="6"/>
        <v>0</v>
      </c>
    </row>
    <row r="91" spans="4:29" ht="12.75">
      <c r="D91" s="189" t="s">
        <v>1091</v>
      </c>
      <c r="E91" s="190">
        <v>3</v>
      </c>
      <c r="F91" s="190">
        <f>BanDop!J25</f>
        <v>90</v>
      </c>
      <c r="G91" s="190"/>
      <c r="H91" s="191">
        <f t="shared" si="8"/>
        <v>0</v>
      </c>
      <c r="I91" s="190">
        <f t="shared" si="9"/>
        <v>0</v>
      </c>
      <c r="J91" s="215">
        <f>BanDop!K25</f>
        <v>0</v>
      </c>
      <c r="K91" s="192">
        <f>BanDop!L25</f>
        <v>0</v>
      </c>
      <c r="L91" s="60"/>
      <c r="M91" s="62"/>
      <c r="N91" s="62"/>
      <c r="O91" s="62"/>
      <c r="P91" s="62"/>
      <c r="Q91" s="62"/>
      <c r="R91" s="62"/>
      <c r="S91" s="62"/>
      <c r="T91" s="62"/>
      <c r="U91" s="62"/>
      <c r="V91" s="62"/>
      <c r="W91" s="62"/>
      <c r="X91" s="61"/>
      <c r="Y91" s="20">
        <f>IF(ListaMB!D98&lt;&gt;"",TEXT(ListaMB!B98,"00000000"),"")</f>
      </c>
      <c r="Z91" s="20">
        <f>IF(ListaMB!D98&lt;&gt;"",ListaMB!D98,"")</f>
      </c>
      <c r="AA91" s="20">
        <f>IF(ListaMB!D98&lt;&gt;"",ListaMB!I98,"")</f>
      </c>
      <c r="AB91" s="21">
        <f>IF(ListaMB!D98&lt;&gt;"",ListaMB!K98,0)</f>
        <v>0</v>
      </c>
      <c r="AC91">
        <f t="shared" si="6"/>
        <v>0</v>
      </c>
    </row>
    <row r="92" spans="4:29" ht="12.75">
      <c r="D92" s="189" t="s">
        <v>1091</v>
      </c>
      <c r="E92" s="190">
        <v>3</v>
      </c>
      <c r="F92" s="190">
        <f>BanDop!J26</f>
        <v>91</v>
      </c>
      <c r="G92" s="190"/>
      <c r="H92" s="191">
        <f t="shared" si="8"/>
        <v>0</v>
      </c>
      <c r="I92" s="190">
        <f t="shared" si="9"/>
        <v>0</v>
      </c>
      <c r="J92" s="215">
        <f>BanDop!K26</f>
        <v>0</v>
      </c>
      <c r="K92" s="192">
        <f>BanDop!L26</f>
        <v>0</v>
      </c>
      <c r="L92" s="60"/>
      <c r="M92" s="62"/>
      <c r="N92" s="62"/>
      <c r="O92" s="62"/>
      <c r="P92" s="62"/>
      <c r="Q92" s="62"/>
      <c r="R92" s="62"/>
      <c r="S92" s="62"/>
      <c r="T92" s="62"/>
      <c r="U92" s="62"/>
      <c r="V92" s="62"/>
      <c r="W92" s="62"/>
      <c r="X92" s="61"/>
      <c r="Y92" s="20">
        <f>IF(ListaMB!D99&lt;&gt;"",TEXT(ListaMB!B99,"00000000"),"")</f>
      </c>
      <c r="Z92" s="20">
        <f>IF(ListaMB!D99&lt;&gt;"",ListaMB!D99,"")</f>
      </c>
      <c r="AA92" s="20">
        <f>IF(ListaMB!D99&lt;&gt;"",ListaMB!I99,"")</f>
      </c>
      <c r="AB92" s="21">
        <f>IF(ListaMB!D99&lt;&gt;"",ListaMB!K99,0)</f>
        <v>0</v>
      </c>
      <c r="AC92">
        <f t="shared" si="6"/>
        <v>0</v>
      </c>
    </row>
    <row r="93" spans="4:29" ht="12.75">
      <c r="D93" s="189" t="s">
        <v>1091</v>
      </c>
      <c r="E93" s="190">
        <v>3</v>
      </c>
      <c r="F93" s="190">
        <f>BanDop!J27</f>
        <v>92</v>
      </c>
      <c r="G93" s="190"/>
      <c r="H93" s="191">
        <f t="shared" si="8"/>
        <v>0</v>
      </c>
      <c r="I93" s="190">
        <f t="shared" si="9"/>
        <v>0</v>
      </c>
      <c r="J93" s="215">
        <f>BanDop!K27</f>
        <v>0</v>
      </c>
      <c r="K93" s="192">
        <f>BanDop!L27</f>
        <v>0</v>
      </c>
      <c r="L93" s="60"/>
      <c r="M93" s="62"/>
      <c r="N93" s="62"/>
      <c r="O93" s="62"/>
      <c r="P93" s="62"/>
      <c r="Q93" s="62"/>
      <c r="R93" s="62"/>
      <c r="S93" s="62"/>
      <c r="T93" s="62"/>
      <c r="U93" s="62"/>
      <c r="V93" s="62"/>
      <c r="W93" s="62"/>
      <c r="X93" s="61"/>
      <c r="Y93" s="20">
        <f>IF(ListaMB!D100&lt;&gt;"",TEXT(ListaMB!B100,"00000000"),"")</f>
      </c>
      <c r="Z93" s="20">
        <f>IF(ListaMB!D100&lt;&gt;"",ListaMB!D100,"")</f>
      </c>
      <c r="AA93" s="20">
        <f>IF(ListaMB!D100&lt;&gt;"",ListaMB!I100,"")</f>
      </c>
      <c r="AB93" s="21">
        <f>IF(ListaMB!D100&lt;&gt;"",ListaMB!K100,0)</f>
        <v>0</v>
      </c>
      <c r="AC93">
        <f t="shared" si="6"/>
        <v>0</v>
      </c>
    </row>
    <row r="94" spans="4:29" ht="12.75">
      <c r="D94" s="189" t="s">
        <v>1091</v>
      </c>
      <c r="E94" s="190">
        <v>3</v>
      </c>
      <c r="F94" s="190">
        <f>BanDop!J28</f>
        <v>93</v>
      </c>
      <c r="G94" s="190"/>
      <c r="H94" s="191">
        <f t="shared" si="8"/>
        <v>0</v>
      </c>
      <c r="I94" s="190">
        <f t="shared" si="9"/>
        <v>0</v>
      </c>
      <c r="J94" s="215">
        <f>BanDop!K28</f>
        <v>0</v>
      </c>
      <c r="K94" s="192">
        <f>BanDop!L28</f>
        <v>0</v>
      </c>
      <c r="L94" s="60"/>
      <c r="M94" s="62"/>
      <c r="N94" s="62"/>
      <c r="O94" s="62"/>
      <c r="P94" s="62"/>
      <c r="Q94" s="62"/>
      <c r="R94" s="62"/>
      <c r="S94" s="62"/>
      <c r="T94" s="62"/>
      <c r="U94" s="62"/>
      <c r="V94" s="62"/>
      <c r="W94" s="62"/>
      <c r="X94" s="61"/>
      <c r="Y94" s="20">
        <f>IF(ListaMB!D101&lt;&gt;"",TEXT(ListaMB!B101,"00000000"),"")</f>
      </c>
      <c r="Z94" s="20">
        <f>IF(ListaMB!D101&lt;&gt;"",ListaMB!D101,"")</f>
      </c>
      <c r="AA94" s="20">
        <f>IF(ListaMB!D101&lt;&gt;"",ListaMB!I101,"")</f>
      </c>
      <c r="AB94" s="21">
        <f>IF(ListaMB!D101&lt;&gt;"",ListaMB!K101,0)</f>
        <v>0</v>
      </c>
      <c r="AC94">
        <f t="shared" si="6"/>
        <v>0</v>
      </c>
    </row>
    <row r="95" spans="4:29" ht="12.75">
      <c r="D95" s="189" t="s">
        <v>1091</v>
      </c>
      <c r="E95" s="190">
        <v>3</v>
      </c>
      <c r="F95" s="190">
        <f>BanDop!J29</f>
        <v>94</v>
      </c>
      <c r="G95" s="190"/>
      <c r="H95" s="191">
        <f t="shared" si="8"/>
        <v>0</v>
      </c>
      <c r="I95" s="190">
        <f t="shared" si="9"/>
        <v>0</v>
      </c>
      <c r="J95" s="215">
        <f>BanDop!K29</f>
        <v>0</v>
      </c>
      <c r="K95" s="192">
        <f>BanDop!L29</f>
        <v>0</v>
      </c>
      <c r="L95" s="60"/>
      <c r="M95" s="62"/>
      <c r="N95" s="62"/>
      <c r="O95" s="62"/>
      <c r="P95" s="62"/>
      <c r="Q95" s="62"/>
      <c r="R95" s="62"/>
      <c r="S95" s="62"/>
      <c r="T95" s="62"/>
      <c r="U95" s="62"/>
      <c r="V95" s="62"/>
      <c r="W95" s="62"/>
      <c r="X95" s="61"/>
      <c r="Y95" s="20">
        <f>IF(ListaMB!D102&lt;&gt;"",TEXT(ListaMB!B102,"00000000"),"")</f>
      </c>
      <c r="Z95" s="20">
        <f>IF(ListaMB!D102&lt;&gt;"",ListaMB!D102,"")</f>
      </c>
      <c r="AA95" s="20">
        <f>IF(ListaMB!D102&lt;&gt;"",ListaMB!I102,"")</f>
      </c>
      <c r="AB95" s="21">
        <f>IF(ListaMB!D102&lt;&gt;"",ListaMB!K102,0)</f>
        <v>0</v>
      </c>
      <c r="AC95">
        <f t="shared" si="6"/>
        <v>0</v>
      </c>
    </row>
    <row r="96" spans="4:29" ht="12.75">
      <c r="D96" s="189" t="s">
        <v>1091</v>
      </c>
      <c r="E96" s="190">
        <v>3</v>
      </c>
      <c r="F96" s="190">
        <f>BanDop!J30</f>
        <v>95</v>
      </c>
      <c r="G96" s="190"/>
      <c r="H96" s="191">
        <f t="shared" si="8"/>
        <v>0</v>
      </c>
      <c r="I96" s="190">
        <f t="shared" si="9"/>
        <v>0</v>
      </c>
      <c r="J96" s="215">
        <f>BanDop!K30</f>
        <v>0</v>
      </c>
      <c r="K96" s="192">
        <f>BanDop!L30</f>
        <v>0</v>
      </c>
      <c r="L96" s="60"/>
      <c r="M96" s="62"/>
      <c r="N96" s="62"/>
      <c r="O96" s="62"/>
      <c r="P96" s="62"/>
      <c r="Q96" s="62"/>
      <c r="R96" s="62"/>
      <c r="S96" s="62"/>
      <c r="T96" s="62"/>
      <c r="U96" s="62"/>
      <c r="V96" s="62"/>
      <c r="W96" s="62"/>
      <c r="X96" s="61"/>
      <c r="Y96" s="20">
        <f>IF(ListaMB!D103&lt;&gt;"",TEXT(ListaMB!B103,"00000000"),"")</f>
      </c>
      <c r="Z96" s="20">
        <f>IF(ListaMB!D103&lt;&gt;"",ListaMB!D103,"")</f>
      </c>
      <c r="AA96" s="20">
        <f>IF(ListaMB!D103&lt;&gt;"",ListaMB!I103,"")</f>
      </c>
      <c r="AB96" s="21">
        <f>IF(ListaMB!D103&lt;&gt;"",ListaMB!K103,0)</f>
        <v>0</v>
      </c>
      <c r="AC96">
        <f t="shared" si="6"/>
        <v>0</v>
      </c>
    </row>
    <row r="97" spans="4:29" ht="12.75">
      <c r="D97" s="189" t="s">
        <v>1091</v>
      </c>
      <c r="E97" s="190">
        <v>3</v>
      </c>
      <c r="F97" s="190">
        <f>BanDop!J31</f>
        <v>96</v>
      </c>
      <c r="G97" s="190"/>
      <c r="H97" s="191">
        <f t="shared" si="8"/>
        <v>0</v>
      </c>
      <c r="I97" s="190">
        <f t="shared" si="9"/>
        <v>0</v>
      </c>
      <c r="J97" s="215">
        <f>BanDop!K31</f>
        <v>0</v>
      </c>
      <c r="K97" s="192">
        <f>BanDop!L31</f>
        <v>0</v>
      </c>
      <c r="L97" s="60"/>
      <c r="M97" s="62"/>
      <c r="N97" s="62"/>
      <c r="O97" s="62"/>
      <c r="P97" s="62"/>
      <c r="Q97" s="62"/>
      <c r="R97" s="62"/>
      <c r="S97" s="62"/>
      <c r="T97" s="62"/>
      <c r="U97" s="62"/>
      <c r="V97" s="62"/>
      <c r="W97" s="62"/>
      <c r="X97" s="61"/>
      <c r="Y97" s="20">
        <f>IF(ListaMB!D104&lt;&gt;"",TEXT(ListaMB!B104,"00000000"),"")</f>
      </c>
      <c r="Z97" s="20">
        <f>IF(ListaMB!D104&lt;&gt;"",ListaMB!D104,"")</f>
      </c>
      <c r="AA97" s="20">
        <f>IF(ListaMB!D104&lt;&gt;"",ListaMB!I104,"")</f>
      </c>
      <c r="AB97" s="21">
        <f>IF(ListaMB!D104&lt;&gt;"",ListaMB!K104,0)</f>
        <v>0</v>
      </c>
      <c r="AC97">
        <f t="shared" si="6"/>
        <v>0</v>
      </c>
    </row>
    <row r="98" spans="4:29" ht="12.75">
      <c r="D98" s="189" t="s">
        <v>1091</v>
      </c>
      <c r="E98" s="190">
        <v>3</v>
      </c>
      <c r="F98" s="190">
        <f>BanDop!J32</f>
        <v>97</v>
      </c>
      <c r="G98" s="190"/>
      <c r="H98" s="191">
        <f t="shared" si="8"/>
        <v>0</v>
      </c>
      <c r="I98" s="190">
        <f t="shared" si="9"/>
        <v>0</v>
      </c>
      <c r="J98" s="215">
        <f>BanDop!K32</f>
        <v>0</v>
      </c>
      <c r="K98" s="192">
        <f>BanDop!L32</f>
        <v>0</v>
      </c>
      <c r="L98" s="60"/>
      <c r="M98" s="62"/>
      <c r="N98" s="62"/>
      <c r="O98" s="62"/>
      <c r="P98" s="62"/>
      <c r="Q98" s="62"/>
      <c r="R98" s="62"/>
      <c r="S98" s="62"/>
      <c r="T98" s="62"/>
      <c r="U98" s="62"/>
      <c r="V98" s="62"/>
      <c r="W98" s="62"/>
      <c r="X98" s="61"/>
      <c r="Y98" s="20">
        <f>IF(ListaMB!D105&lt;&gt;"",TEXT(ListaMB!B105,"00000000"),"")</f>
      </c>
      <c r="Z98" s="20">
        <f>IF(ListaMB!D105&lt;&gt;"",ListaMB!D105,"")</f>
      </c>
      <c r="AA98" s="20">
        <f>IF(ListaMB!D105&lt;&gt;"",ListaMB!I105,"")</f>
      </c>
      <c r="AB98" s="21">
        <f>IF(ListaMB!D105&lt;&gt;"",ListaMB!K105,0)</f>
        <v>0</v>
      </c>
      <c r="AC98">
        <f t="shared" si="6"/>
        <v>0</v>
      </c>
    </row>
    <row r="99" spans="4:29" ht="12.75">
      <c r="D99" s="189" t="s">
        <v>1091</v>
      </c>
      <c r="E99" s="190">
        <v>3</v>
      </c>
      <c r="F99" s="190">
        <f>BanDop!J33</f>
        <v>98</v>
      </c>
      <c r="G99" s="190"/>
      <c r="H99" s="191">
        <f t="shared" si="8"/>
        <v>0</v>
      </c>
      <c r="I99" s="190">
        <f t="shared" si="9"/>
        <v>0</v>
      </c>
      <c r="J99" s="215">
        <f>BanDop!K33</f>
        <v>0</v>
      </c>
      <c r="K99" s="192">
        <f>BanDop!L33</f>
        <v>0</v>
      </c>
      <c r="L99" s="60"/>
      <c r="M99" s="62"/>
      <c r="N99" s="62"/>
      <c r="O99" s="62"/>
      <c r="P99" s="62"/>
      <c r="Q99" s="62"/>
      <c r="R99" s="62"/>
      <c r="S99" s="62"/>
      <c r="T99" s="62"/>
      <c r="U99" s="62"/>
      <c r="V99" s="62"/>
      <c r="W99" s="62"/>
      <c r="X99" s="61"/>
      <c r="Y99" s="20">
        <f>IF(ListaMB!D106&lt;&gt;"",TEXT(ListaMB!B106,"00000000"),"")</f>
      </c>
      <c r="Z99" s="20">
        <f>IF(ListaMB!D106&lt;&gt;"",ListaMB!D106,"")</f>
      </c>
      <c r="AA99" s="20">
        <f>IF(ListaMB!D106&lt;&gt;"",ListaMB!I106,"")</f>
      </c>
      <c r="AB99" s="21">
        <f>IF(ListaMB!D106&lt;&gt;"",ListaMB!K106,0)</f>
        <v>0</v>
      </c>
      <c r="AC99">
        <f t="shared" si="6"/>
        <v>0</v>
      </c>
    </row>
    <row r="100" spans="4:29" ht="12.75">
      <c r="D100" s="189" t="s">
        <v>1091</v>
      </c>
      <c r="E100" s="190">
        <v>3</v>
      </c>
      <c r="F100" s="190">
        <f>BanDop!J34</f>
        <v>99</v>
      </c>
      <c r="G100" s="190"/>
      <c r="H100" s="191">
        <f t="shared" si="8"/>
        <v>0</v>
      </c>
      <c r="I100" s="190">
        <f t="shared" si="9"/>
        <v>0</v>
      </c>
      <c r="J100" s="215">
        <f>BanDop!K34</f>
        <v>0</v>
      </c>
      <c r="K100" s="192">
        <f>BanDop!L34</f>
        <v>0</v>
      </c>
      <c r="L100" s="60"/>
      <c r="M100" s="62"/>
      <c r="N100" s="62"/>
      <c r="O100" s="62"/>
      <c r="P100" s="62"/>
      <c r="Q100" s="62"/>
      <c r="R100" s="62"/>
      <c r="S100" s="62"/>
      <c r="T100" s="62"/>
      <c r="U100" s="62"/>
      <c r="V100" s="62"/>
      <c r="W100" s="62"/>
      <c r="X100" s="61"/>
      <c r="Y100" s="20">
        <f>IF(ListaMB!D107&lt;&gt;"",TEXT(ListaMB!B107,"00000000"),"")</f>
      </c>
      <c r="Z100" s="20">
        <f>IF(ListaMB!D107&lt;&gt;"",ListaMB!D107,"")</f>
      </c>
      <c r="AA100" s="20">
        <f>IF(ListaMB!D107&lt;&gt;"",ListaMB!I107,"")</f>
      </c>
      <c r="AB100" s="21">
        <f>IF(ListaMB!D107&lt;&gt;"",ListaMB!K107,0)</f>
        <v>0</v>
      </c>
      <c r="AC100">
        <f t="shared" si="6"/>
        <v>0</v>
      </c>
    </row>
    <row r="101" spans="4:29" ht="12.75">
      <c r="D101" s="189" t="s">
        <v>1091</v>
      </c>
      <c r="E101" s="190">
        <v>3</v>
      </c>
      <c r="F101" s="190">
        <f>BanDop!J35</f>
        <v>100</v>
      </c>
      <c r="G101" s="190"/>
      <c r="H101" s="191">
        <f t="shared" si="8"/>
        <v>0</v>
      </c>
      <c r="I101" s="190">
        <f t="shared" si="9"/>
        <v>0</v>
      </c>
      <c r="J101" s="215">
        <f>BanDop!K35</f>
        <v>0</v>
      </c>
      <c r="K101" s="192">
        <f>BanDop!L35</f>
        <v>0</v>
      </c>
      <c r="L101" s="60"/>
      <c r="M101" s="62"/>
      <c r="N101" s="62"/>
      <c r="O101" s="62"/>
      <c r="P101" s="62"/>
      <c r="Q101" s="62"/>
      <c r="R101" s="62"/>
      <c r="S101" s="62"/>
      <c r="T101" s="62"/>
      <c r="U101" s="62"/>
      <c r="V101" s="62"/>
      <c r="W101" s="62"/>
      <c r="X101" s="61"/>
      <c r="Y101" s="22">
        <f>IF(ListaMB!D108&lt;&gt;"",TEXT(ListaMB!B108,"00000000"),"")</f>
      </c>
      <c r="Z101" s="23">
        <f>IF(ListaMB!D108&lt;&gt;"",ListaMB!D108,"")</f>
      </c>
      <c r="AA101" s="23">
        <f>IF(ListaMB!D108&lt;&gt;"",ListaMB!I108,"")</f>
      </c>
      <c r="AB101" s="24">
        <f>IF(ListaMB!D108&lt;&gt;"",ListaMB!K108,0)</f>
        <v>0</v>
      </c>
      <c r="AC101">
        <f t="shared" si="6"/>
        <v>0</v>
      </c>
    </row>
    <row r="102" spans="4:24" ht="12.75">
      <c r="D102" s="189" t="s">
        <v>1091</v>
      </c>
      <c r="E102" s="190">
        <v>3</v>
      </c>
      <c r="F102" s="190">
        <f>BanDop!J36</f>
        <v>101</v>
      </c>
      <c r="G102" s="190"/>
      <c r="H102" s="191">
        <f t="shared" si="8"/>
        <v>0</v>
      </c>
      <c r="I102" s="190">
        <f t="shared" si="9"/>
        <v>0</v>
      </c>
      <c r="J102" s="215">
        <f>BanDop!K36</f>
        <v>0</v>
      </c>
      <c r="K102" s="192">
        <f>BanDop!L36</f>
        <v>0</v>
      </c>
      <c r="L102" s="60"/>
      <c r="M102" s="62"/>
      <c r="N102" s="62"/>
      <c r="O102" s="62"/>
      <c r="P102" s="62"/>
      <c r="Q102" s="62"/>
      <c r="R102" s="62"/>
      <c r="S102" s="62"/>
      <c r="T102" s="62"/>
      <c r="U102" s="62"/>
      <c r="V102" s="62"/>
      <c r="W102" s="62"/>
      <c r="X102" s="61"/>
    </row>
    <row r="103" spans="4:24" ht="12.75">
      <c r="D103" s="189" t="s">
        <v>1091</v>
      </c>
      <c r="E103" s="190">
        <v>3</v>
      </c>
      <c r="F103" s="190">
        <f>BanDop!J37</f>
        <v>102</v>
      </c>
      <c r="G103" s="190"/>
      <c r="H103" s="191">
        <f t="shared" si="8"/>
        <v>0</v>
      </c>
      <c r="I103" s="190">
        <f t="shared" si="9"/>
        <v>0</v>
      </c>
      <c r="J103" s="215">
        <f>BanDop!K37</f>
        <v>0</v>
      </c>
      <c r="K103" s="192">
        <f>BanDop!L37</f>
        <v>0</v>
      </c>
      <c r="L103" s="60"/>
      <c r="M103" s="62"/>
      <c r="N103" s="62"/>
      <c r="O103" s="62"/>
      <c r="P103" s="62"/>
      <c r="Q103" s="62"/>
      <c r="R103" s="62"/>
      <c r="S103" s="62"/>
      <c r="T103" s="62"/>
      <c r="U103" s="62"/>
      <c r="V103" s="62"/>
      <c r="W103" s="62"/>
      <c r="X103" s="61"/>
    </row>
    <row r="104" spans="4:24" ht="12.75">
      <c r="D104" s="189" t="s">
        <v>1091</v>
      </c>
      <c r="E104" s="190">
        <v>3</v>
      </c>
      <c r="F104" s="190">
        <f>BanDop!J38</f>
        <v>103</v>
      </c>
      <c r="G104" s="190"/>
      <c r="H104" s="191">
        <f t="shared" si="8"/>
        <v>0</v>
      </c>
      <c r="I104" s="190">
        <f t="shared" si="9"/>
        <v>0</v>
      </c>
      <c r="J104" s="215">
        <f>BanDop!K38</f>
        <v>0</v>
      </c>
      <c r="K104" s="192">
        <f>BanDop!L38</f>
        <v>0</v>
      </c>
      <c r="L104" s="60"/>
      <c r="M104" s="62"/>
      <c r="N104" s="62"/>
      <c r="O104" s="62"/>
      <c r="P104" s="62"/>
      <c r="Q104" s="62"/>
      <c r="R104" s="62"/>
      <c r="S104" s="62"/>
      <c r="T104" s="62"/>
      <c r="U104" s="62"/>
      <c r="V104" s="62"/>
      <c r="W104" s="62"/>
      <c r="X104" s="61"/>
    </row>
    <row r="105" spans="4:24" ht="12.75">
      <c r="D105" s="189" t="s">
        <v>1091</v>
      </c>
      <c r="E105" s="190">
        <v>3</v>
      </c>
      <c r="F105" s="190">
        <f>BanDop!J39</f>
        <v>104</v>
      </c>
      <c r="G105" s="190"/>
      <c r="H105" s="191">
        <f t="shared" si="8"/>
        <v>0</v>
      </c>
      <c r="I105" s="190">
        <f t="shared" si="9"/>
        <v>0</v>
      </c>
      <c r="J105" s="215">
        <f>BanDop!K39</f>
        <v>0</v>
      </c>
      <c r="K105" s="192">
        <f>BanDop!L39</f>
        <v>0</v>
      </c>
      <c r="L105" s="60"/>
      <c r="M105" s="62"/>
      <c r="N105" s="62"/>
      <c r="O105" s="62"/>
      <c r="P105" s="62"/>
      <c r="Q105" s="62"/>
      <c r="R105" s="62"/>
      <c r="S105" s="62"/>
      <c r="T105" s="62"/>
      <c r="U105" s="62"/>
      <c r="V105" s="62"/>
      <c r="W105" s="62"/>
      <c r="X105" s="61"/>
    </row>
    <row r="106" spans="4:24" ht="12.75">
      <c r="D106" s="189" t="s">
        <v>1091</v>
      </c>
      <c r="E106" s="190">
        <v>3</v>
      </c>
      <c r="F106" s="190">
        <f>BanDop!J40</f>
        <v>105</v>
      </c>
      <c r="G106" s="190"/>
      <c r="H106" s="191">
        <f t="shared" si="8"/>
        <v>0</v>
      </c>
      <c r="I106" s="190">
        <f t="shared" si="9"/>
        <v>0</v>
      </c>
      <c r="J106" s="215">
        <f>BanDop!K40</f>
        <v>0</v>
      </c>
      <c r="K106" s="192">
        <f>BanDop!L40</f>
        <v>0</v>
      </c>
      <c r="L106" s="60"/>
      <c r="M106" s="62"/>
      <c r="N106" s="62"/>
      <c r="O106" s="62"/>
      <c r="P106" s="62"/>
      <c r="Q106" s="62"/>
      <c r="R106" s="62"/>
      <c r="S106" s="62"/>
      <c r="T106" s="62"/>
      <c r="U106" s="62"/>
      <c r="V106" s="62"/>
      <c r="W106" s="62"/>
      <c r="X106" s="61"/>
    </row>
    <row r="107" spans="4:24" ht="12.75">
      <c r="D107" s="189" t="s">
        <v>1091</v>
      </c>
      <c r="E107" s="190">
        <v>3</v>
      </c>
      <c r="F107" s="190">
        <f>BanDop!J41</f>
        <v>106</v>
      </c>
      <c r="G107" s="190"/>
      <c r="H107" s="191">
        <f t="shared" si="8"/>
        <v>0</v>
      </c>
      <c r="I107" s="190">
        <f t="shared" si="9"/>
        <v>0</v>
      </c>
      <c r="J107" s="215">
        <f>BanDop!K41</f>
        <v>0</v>
      </c>
      <c r="K107" s="192">
        <f>BanDop!L41</f>
        <v>0</v>
      </c>
      <c r="L107" s="60"/>
      <c r="M107" s="62"/>
      <c r="N107" s="62"/>
      <c r="O107" s="62"/>
      <c r="P107" s="62"/>
      <c r="Q107" s="62"/>
      <c r="R107" s="62"/>
      <c r="S107" s="62"/>
      <c r="T107" s="62"/>
      <c r="U107" s="62"/>
      <c r="V107" s="62"/>
      <c r="W107" s="62"/>
      <c r="X107" s="61"/>
    </row>
    <row r="108" spans="4:24" ht="12.75">
      <c r="D108" s="189" t="s">
        <v>1091</v>
      </c>
      <c r="E108" s="190">
        <v>3</v>
      </c>
      <c r="F108" s="190">
        <f>BanDop!J42</f>
        <v>107</v>
      </c>
      <c r="G108" s="190"/>
      <c r="H108" s="191">
        <f t="shared" si="8"/>
        <v>0</v>
      </c>
      <c r="I108" s="190">
        <f t="shared" si="9"/>
        <v>0</v>
      </c>
      <c r="J108" s="215">
        <f>BanDop!K42</f>
        <v>0</v>
      </c>
      <c r="K108" s="192">
        <f>BanDop!L42</f>
        <v>0</v>
      </c>
      <c r="L108" s="60"/>
      <c r="M108" s="62"/>
      <c r="N108" s="62"/>
      <c r="O108" s="62"/>
      <c r="P108" s="62"/>
      <c r="Q108" s="62"/>
      <c r="R108" s="62"/>
      <c r="S108" s="62"/>
      <c r="T108" s="62"/>
      <c r="U108" s="62"/>
      <c r="V108" s="62"/>
      <c r="W108" s="62"/>
      <c r="X108" s="61"/>
    </row>
    <row r="109" spans="4:24" ht="12.75">
      <c r="D109" s="189" t="s">
        <v>1091</v>
      </c>
      <c r="E109" s="190">
        <v>3</v>
      </c>
      <c r="F109" s="190">
        <f>BanDop!J43</f>
        <v>108</v>
      </c>
      <c r="G109" s="190"/>
      <c r="H109" s="191">
        <f t="shared" si="8"/>
        <v>0</v>
      </c>
      <c r="I109" s="190">
        <f t="shared" si="9"/>
        <v>0</v>
      </c>
      <c r="J109" s="215">
        <f>BanDop!K43</f>
        <v>0</v>
      </c>
      <c r="K109" s="192">
        <f>BanDop!L43</f>
        <v>0</v>
      </c>
      <c r="L109" s="60"/>
      <c r="M109" s="62"/>
      <c r="N109" s="62"/>
      <c r="O109" s="62"/>
      <c r="P109" s="62"/>
      <c r="Q109" s="62"/>
      <c r="R109" s="62"/>
      <c r="S109" s="62"/>
      <c r="T109" s="62"/>
      <c r="U109" s="62"/>
      <c r="V109" s="62"/>
      <c r="W109" s="62"/>
      <c r="X109" s="61"/>
    </row>
    <row r="110" spans="4:24" ht="12.75">
      <c r="D110" s="189" t="s">
        <v>1091</v>
      </c>
      <c r="E110" s="190">
        <v>3</v>
      </c>
      <c r="F110" s="190">
        <f>BanDop!J44</f>
        <v>109</v>
      </c>
      <c r="G110" s="190"/>
      <c r="H110" s="191">
        <f t="shared" si="8"/>
        <v>0</v>
      </c>
      <c r="I110" s="190">
        <f t="shared" si="9"/>
        <v>0</v>
      </c>
      <c r="J110" s="215">
        <f>BanDop!K44</f>
        <v>0</v>
      </c>
      <c r="K110" s="192">
        <f>BanDop!L44</f>
        <v>0</v>
      </c>
      <c r="L110" s="60"/>
      <c r="M110" s="62"/>
      <c r="N110" s="62"/>
      <c r="O110" s="62"/>
      <c r="P110" s="62"/>
      <c r="Q110" s="62"/>
      <c r="R110" s="62"/>
      <c r="S110" s="62"/>
      <c r="T110" s="62"/>
      <c r="U110" s="62"/>
      <c r="V110" s="62"/>
      <c r="W110" s="62"/>
      <c r="X110" s="61"/>
    </row>
    <row r="111" spans="4:24" ht="12.75">
      <c r="D111" s="189" t="s">
        <v>1091</v>
      </c>
      <c r="E111" s="190">
        <v>3</v>
      </c>
      <c r="F111" s="190">
        <f>BanDop!J45</f>
        <v>110</v>
      </c>
      <c r="G111" s="190"/>
      <c r="H111" s="191">
        <f t="shared" si="8"/>
        <v>0</v>
      </c>
      <c r="I111" s="190">
        <f t="shared" si="9"/>
        <v>0</v>
      </c>
      <c r="J111" s="215">
        <f>BanDop!K45</f>
        <v>0</v>
      </c>
      <c r="K111" s="192">
        <f>BanDop!L45</f>
        <v>0</v>
      </c>
      <c r="L111" s="60"/>
      <c r="M111" s="62"/>
      <c r="N111" s="62"/>
      <c r="O111" s="62"/>
      <c r="P111" s="62"/>
      <c r="Q111" s="62"/>
      <c r="R111" s="62"/>
      <c r="S111" s="62"/>
      <c r="T111" s="62"/>
      <c r="U111" s="62"/>
      <c r="V111" s="62"/>
      <c r="W111" s="62"/>
      <c r="X111" s="61"/>
    </row>
    <row r="112" spans="4:24" ht="12.75">
      <c r="D112" s="189" t="s">
        <v>1091</v>
      </c>
      <c r="E112" s="190">
        <v>3</v>
      </c>
      <c r="F112" s="190">
        <f>BanDop!J46</f>
        <v>111</v>
      </c>
      <c r="G112" s="190"/>
      <c r="H112" s="191">
        <f t="shared" si="8"/>
        <v>0</v>
      </c>
      <c r="I112" s="190">
        <f t="shared" si="9"/>
        <v>0</v>
      </c>
      <c r="J112" s="215">
        <f>BanDop!K46</f>
        <v>0</v>
      </c>
      <c r="K112" s="192">
        <f>BanDop!L46</f>
        <v>0</v>
      </c>
      <c r="L112" s="60"/>
      <c r="M112" s="62"/>
      <c r="N112" s="62"/>
      <c r="O112" s="62"/>
      <c r="P112" s="62"/>
      <c r="Q112" s="62"/>
      <c r="R112" s="62"/>
      <c r="S112" s="62"/>
      <c r="T112" s="62"/>
      <c r="U112" s="62"/>
      <c r="V112" s="62"/>
      <c r="W112" s="62"/>
      <c r="X112" s="61"/>
    </row>
    <row r="113" spans="4:24" ht="12.75">
      <c r="D113" s="189" t="s">
        <v>1091</v>
      </c>
      <c r="E113" s="190">
        <v>3</v>
      </c>
      <c r="F113" s="190">
        <f>BanDop!J47</f>
        <v>112</v>
      </c>
      <c r="G113" s="190"/>
      <c r="H113" s="191">
        <f t="shared" si="8"/>
        <v>0</v>
      </c>
      <c r="I113" s="190">
        <f t="shared" si="9"/>
        <v>0</v>
      </c>
      <c r="J113" s="215">
        <f>BanDop!K47</f>
        <v>0</v>
      </c>
      <c r="K113" s="192">
        <f>BanDop!L47</f>
        <v>0</v>
      </c>
      <c r="L113" s="60"/>
      <c r="M113" s="62"/>
      <c r="N113" s="62"/>
      <c r="O113" s="62"/>
      <c r="P113" s="62"/>
      <c r="Q113" s="62"/>
      <c r="R113" s="62"/>
      <c r="S113" s="62"/>
      <c r="T113" s="62"/>
      <c r="U113" s="62"/>
      <c r="V113" s="62"/>
      <c r="W113" s="62"/>
      <c r="X113" s="61"/>
    </row>
    <row r="114" spans="4:24" ht="12.75">
      <c r="D114" s="189" t="s">
        <v>1091</v>
      </c>
      <c r="E114" s="190">
        <v>3</v>
      </c>
      <c r="F114" s="190">
        <f>BanDop!J48</f>
        <v>113</v>
      </c>
      <c r="G114" s="190"/>
      <c r="H114" s="191">
        <f t="shared" si="8"/>
        <v>0</v>
      </c>
      <c r="I114" s="190">
        <f t="shared" si="9"/>
        <v>0</v>
      </c>
      <c r="J114" s="215">
        <f>BanDop!K48</f>
        <v>0</v>
      </c>
      <c r="K114" s="192">
        <f>BanDop!L48</f>
        <v>0</v>
      </c>
      <c r="L114" s="60"/>
      <c r="M114" s="62"/>
      <c r="N114" s="62"/>
      <c r="O114" s="62"/>
      <c r="P114" s="62"/>
      <c r="Q114" s="62"/>
      <c r="R114" s="62"/>
      <c r="S114" s="62"/>
      <c r="T114" s="62"/>
      <c r="U114" s="62"/>
      <c r="V114" s="62"/>
      <c r="W114" s="62"/>
      <c r="X114" s="61"/>
    </row>
    <row r="115" spans="4:24" ht="12.75">
      <c r="D115" s="189" t="s">
        <v>1091</v>
      </c>
      <c r="E115" s="190">
        <v>3</v>
      </c>
      <c r="F115" s="190">
        <f>BanDop!J49</f>
        <v>114</v>
      </c>
      <c r="G115" s="190"/>
      <c r="H115" s="191">
        <f t="shared" si="8"/>
        <v>0</v>
      </c>
      <c r="I115" s="190">
        <f t="shared" si="9"/>
        <v>0</v>
      </c>
      <c r="J115" s="215">
        <f>BanDop!K49</f>
        <v>0</v>
      </c>
      <c r="K115" s="192">
        <f>BanDop!L49</f>
        <v>0</v>
      </c>
      <c r="L115" s="60"/>
      <c r="M115" s="62"/>
      <c r="N115" s="62"/>
      <c r="O115" s="62"/>
      <c r="P115" s="62"/>
      <c r="Q115" s="62"/>
      <c r="R115" s="62"/>
      <c r="S115" s="62"/>
      <c r="T115" s="62"/>
      <c r="U115" s="62"/>
      <c r="V115" s="62"/>
      <c r="W115" s="62"/>
      <c r="X115" s="61"/>
    </row>
    <row r="116" spans="4:24" ht="12.75">
      <c r="D116" s="189" t="s">
        <v>1091</v>
      </c>
      <c r="E116" s="190">
        <v>3</v>
      </c>
      <c r="F116" s="190">
        <f>BanDop!J50</f>
        <v>115</v>
      </c>
      <c r="G116" s="190"/>
      <c r="H116" s="191">
        <f t="shared" si="8"/>
        <v>0</v>
      </c>
      <c r="I116" s="190">
        <f t="shared" si="9"/>
        <v>0</v>
      </c>
      <c r="J116" s="215">
        <f>BanDop!K50</f>
        <v>0</v>
      </c>
      <c r="K116" s="192">
        <f>BanDop!L50</f>
        <v>0</v>
      </c>
      <c r="L116" s="60"/>
      <c r="M116" s="62"/>
      <c r="N116" s="62"/>
      <c r="O116" s="62"/>
      <c r="P116" s="62"/>
      <c r="Q116" s="62"/>
      <c r="R116" s="62"/>
      <c r="S116" s="62"/>
      <c r="T116" s="62"/>
      <c r="U116" s="62"/>
      <c r="V116" s="62"/>
      <c r="W116" s="62"/>
      <c r="X116" s="61"/>
    </row>
    <row r="117" spans="4:24" ht="12.75">
      <c r="D117" s="189" t="s">
        <v>1091</v>
      </c>
      <c r="E117" s="190">
        <v>3</v>
      </c>
      <c r="F117" s="190">
        <f>BanDop!J51</f>
        <v>116</v>
      </c>
      <c r="G117" s="190"/>
      <c r="H117" s="191">
        <f t="shared" si="8"/>
        <v>0</v>
      </c>
      <c r="I117" s="190">
        <f t="shared" si="9"/>
        <v>0</v>
      </c>
      <c r="J117" s="215">
        <f>BanDop!K51</f>
        <v>0</v>
      </c>
      <c r="K117" s="192">
        <f>BanDop!L51</f>
        <v>0</v>
      </c>
      <c r="L117" s="60"/>
      <c r="M117" s="62"/>
      <c r="N117" s="62"/>
      <c r="O117" s="62"/>
      <c r="P117" s="62"/>
      <c r="Q117" s="62"/>
      <c r="R117" s="62"/>
      <c r="S117" s="62"/>
      <c r="T117" s="62"/>
      <c r="U117" s="62"/>
      <c r="V117" s="62"/>
      <c r="W117" s="62"/>
      <c r="X117" s="61"/>
    </row>
    <row r="118" spans="4:24" ht="12.75">
      <c r="D118" s="189" t="s">
        <v>1091</v>
      </c>
      <c r="E118" s="190">
        <v>3</v>
      </c>
      <c r="F118" s="190">
        <f>BanDop!J52</f>
        <v>117</v>
      </c>
      <c r="G118" s="190"/>
      <c r="H118" s="191">
        <f t="shared" si="8"/>
        <v>0</v>
      </c>
      <c r="I118" s="190">
        <f t="shared" si="9"/>
        <v>0</v>
      </c>
      <c r="J118" s="215">
        <f>BanDop!K52</f>
        <v>0</v>
      </c>
      <c r="K118" s="192">
        <f>BanDop!L52</f>
        <v>0</v>
      </c>
      <c r="L118" s="60"/>
      <c r="M118" s="62"/>
      <c r="N118" s="62"/>
      <c r="O118" s="62"/>
      <c r="P118" s="62"/>
      <c r="Q118" s="62"/>
      <c r="R118" s="62"/>
      <c r="S118" s="62"/>
      <c r="T118" s="62"/>
      <c r="U118" s="62"/>
      <c r="V118" s="62"/>
      <c r="W118" s="62"/>
      <c r="X118" s="61"/>
    </row>
    <row r="119" spans="4:24" ht="12.75">
      <c r="D119" s="189" t="s">
        <v>1091</v>
      </c>
      <c r="E119" s="190">
        <v>3</v>
      </c>
      <c r="F119" s="190">
        <f>BanDop!J53</f>
        <v>118</v>
      </c>
      <c r="G119" s="190"/>
      <c r="H119" s="191">
        <f t="shared" si="8"/>
        <v>0</v>
      </c>
      <c r="I119" s="190">
        <f t="shared" si="9"/>
        <v>0</v>
      </c>
      <c r="J119" s="215">
        <f>BanDop!K53</f>
        <v>0</v>
      </c>
      <c r="K119" s="192">
        <f>BanDop!L53</f>
        <v>0</v>
      </c>
      <c r="L119" s="60"/>
      <c r="M119" s="62"/>
      <c r="N119" s="62"/>
      <c r="O119" s="62"/>
      <c r="P119" s="62"/>
      <c r="Q119" s="62"/>
      <c r="R119" s="62"/>
      <c r="S119" s="62"/>
      <c r="T119" s="62"/>
      <c r="U119" s="62"/>
      <c r="V119" s="62"/>
      <c r="W119" s="62"/>
      <c r="X119" s="61"/>
    </row>
    <row r="120" spans="4:24" ht="12.75">
      <c r="D120" s="189" t="s">
        <v>1091</v>
      </c>
      <c r="E120" s="190">
        <v>3</v>
      </c>
      <c r="F120" s="190">
        <f>BanDop!J55</f>
        <v>119</v>
      </c>
      <c r="G120" s="190"/>
      <c r="H120" s="191">
        <f t="shared" si="8"/>
        <v>0</v>
      </c>
      <c r="I120" s="190">
        <f t="shared" si="9"/>
        <v>0</v>
      </c>
      <c r="J120" s="215">
        <f>BanDop!K55</f>
        <v>0</v>
      </c>
      <c r="K120" s="192">
        <f>BanDop!L55</f>
        <v>0</v>
      </c>
      <c r="L120" s="60"/>
      <c r="M120" s="62"/>
      <c r="N120" s="62"/>
      <c r="O120" s="62"/>
      <c r="P120" s="62"/>
      <c r="Q120" s="62"/>
      <c r="R120" s="62"/>
      <c r="S120" s="62"/>
      <c r="T120" s="62"/>
      <c r="U120" s="62"/>
      <c r="V120" s="62"/>
      <c r="W120" s="62"/>
      <c r="X120" s="61"/>
    </row>
    <row r="121" spans="4:24" ht="12.75">
      <c r="D121" s="189" t="s">
        <v>1091</v>
      </c>
      <c r="E121" s="190">
        <v>3</v>
      </c>
      <c r="F121" s="190">
        <f>BanDop!J56</f>
        <v>120</v>
      </c>
      <c r="G121" s="190"/>
      <c r="H121" s="191">
        <f t="shared" si="8"/>
        <v>0</v>
      </c>
      <c r="I121" s="190">
        <f t="shared" si="9"/>
        <v>0</v>
      </c>
      <c r="J121" s="215">
        <f>BanDop!K56</f>
        <v>0</v>
      </c>
      <c r="K121" s="192">
        <f>BanDop!L56</f>
        <v>0</v>
      </c>
      <c r="L121" s="60"/>
      <c r="M121" s="62"/>
      <c r="N121" s="62"/>
      <c r="O121" s="62"/>
      <c r="P121" s="62"/>
      <c r="Q121" s="62"/>
      <c r="R121" s="62"/>
      <c r="S121" s="62"/>
      <c r="T121" s="62"/>
      <c r="U121" s="62"/>
      <c r="V121" s="62"/>
      <c r="W121" s="62"/>
      <c r="X121" s="61"/>
    </row>
    <row r="122" spans="4:24" ht="12.75">
      <c r="D122" s="189" t="s">
        <v>1091</v>
      </c>
      <c r="E122" s="190">
        <v>3</v>
      </c>
      <c r="F122" s="190">
        <f>BanDop!J57</f>
        <v>121</v>
      </c>
      <c r="G122" s="190"/>
      <c r="H122" s="191">
        <f t="shared" si="8"/>
        <v>0</v>
      </c>
      <c r="I122" s="190">
        <f t="shared" si="9"/>
        <v>0</v>
      </c>
      <c r="J122" s="215">
        <f>BanDop!K57</f>
        <v>0</v>
      </c>
      <c r="K122" s="192">
        <f>BanDop!L57</f>
        <v>0</v>
      </c>
      <c r="L122" s="60"/>
      <c r="M122" s="62"/>
      <c r="N122" s="62"/>
      <c r="O122" s="62"/>
      <c r="P122" s="62"/>
      <c r="Q122" s="62"/>
      <c r="R122" s="62"/>
      <c r="S122" s="62"/>
      <c r="T122" s="62"/>
      <c r="U122" s="62"/>
      <c r="V122" s="62"/>
      <c r="W122" s="62"/>
      <c r="X122" s="61"/>
    </row>
    <row r="123" spans="4:24" ht="12.75">
      <c r="D123" s="189" t="s">
        <v>1091</v>
      </c>
      <c r="E123" s="190">
        <v>3</v>
      </c>
      <c r="F123" s="190">
        <f>BanDop!J58</f>
        <v>122</v>
      </c>
      <c r="G123" s="190"/>
      <c r="H123" s="191">
        <f t="shared" si="8"/>
        <v>0</v>
      </c>
      <c r="I123" s="190">
        <f t="shared" si="9"/>
        <v>0</v>
      </c>
      <c r="J123" s="215">
        <f>BanDop!K58</f>
        <v>0</v>
      </c>
      <c r="K123" s="192">
        <f>BanDop!L58</f>
        <v>0</v>
      </c>
      <c r="L123" s="60"/>
      <c r="M123" s="62"/>
      <c r="N123" s="62"/>
      <c r="O123" s="62"/>
      <c r="P123" s="62"/>
      <c r="Q123" s="62"/>
      <c r="R123" s="62"/>
      <c r="S123" s="62"/>
      <c r="T123" s="62"/>
      <c r="U123" s="62"/>
      <c r="V123" s="62"/>
      <c r="W123" s="62"/>
      <c r="X123" s="61"/>
    </row>
    <row r="124" spans="4:24" ht="12.75">
      <c r="D124" s="189" t="s">
        <v>1091</v>
      </c>
      <c r="E124" s="190">
        <v>3</v>
      </c>
      <c r="F124" s="190">
        <f>BanDop!J59</f>
        <v>123</v>
      </c>
      <c r="G124" s="190"/>
      <c r="H124" s="191">
        <f t="shared" si="8"/>
        <v>0</v>
      </c>
      <c r="I124" s="190">
        <f t="shared" si="9"/>
        <v>0</v>
      </c>
      <c r="J124" s="215">
        <f>BanDop!K59</f>
        <v>0</v>
      </c>
      <c r="K124" s="192">
        <f>BanDop!L59</f>
        <v>0</v>
      </c>
      <c r="L124" s="60"/>
      <c r="M124" s="62"/>
      <c r="N124" s="62"/>
      <c r="O124" s="62"/>
      <c r="P124" s="62"/>
      <c r="Q124" s="62"/>
      <c r="R124" s="62"/>
      <c r="S124" s="62"/>
      <c r="T124" s="62"/>
      <c r="U124" s="62"/>
      <c r="V124" s="62"/>
      <c r="W124" s="62"/>
      <c r="X124" s="61"/>
    </row>
    <row r="125" spans="4:24" ht="12.75">
      <c r="D125" s="189" t="s">
        <v>1091</v>
      </c>
      <c r="E125" s="190">
        <v>3</v>
      </c>
      <c r="F125" s="190">
        <f>BanDop!J60</f>
        <v>124</v>
      </c>
      <c r="G125" s="190"/>
      <c r="H125" s="191">
        <f t="shared" si="8"/>
        <v>0</v>
      </c>
      <c r="I125" s="190">
        <f t="shared" si="9"/>
        <v>0</v>
      </c>
      <c r="J125" s="215">
        <f>BanDop!K60</f>
        <v>0</v>
      </c>
      <c r="K125" s="192">
        <f>BanDop!L60</f>
        <v>0</v>
      </c>
      <c r="L125" s="60"/>
      <c r="M125" s="62"/>
      <c r="N125" s="62"/>
      <c r="O125" s="62"/>
      <c r="P125" s="62"/>
      <c r="Q125" s="62"/>
      <c r="R125" s="62"/>
      <c r="S125" s="62"/>
      <c r="T125" s="62"/>
      <c r="U125" s="62"/>
      <c r="V125" s="62"/>
      <c r="W125" s="62"/>
      <c r="X125" s="61"/>
    </row>
    <row r="126" spans="4:24" ht="12.75">
      <c r="D126" s="189" t="s">
        <v>1091</v>
      </c>
      <c r="E126" s="190">
        <v>3</v>
      </c>
      <c r="F126" s="190">
        <f>BanDop!J61</f>
        <v>125</v>
      </c>
      <c r="G126" s="190"/>
      <c r="H126" s="191">
        <f t="shared" si="8"/>
        <v>0</v>
      </c>
      <c r="I126" s="190">
        <f t="shared" si="9"/>
        <v>0</v>
      </c>
      <c r="J126" s="215">
        <f>BanDop!K61</f>
        <v>0</v>
      </c>
      <c r="K126" s="192">
        <f>BanDop!L61</f>
        <v>0</v>
      </c>
      <c r="L126" s="60"/>
      <c r="M126" s="62"/>
      <c r="N126" s="62"/>
      <c r="O126" s="62"/>
      <c r="P126" s="62"/>
      <c r="Q126" s="62"/>
      <c r="R126" s="62"/>
      <c r="S126" s="62"/>
      <c r="T126" s="62"/>
      <c r="U126" s="62"/>
      <c r="V126" s="62"/>
      <c r="W126" s="62"/>
      <c r="X126" s="61"/>
    </row>
    <row r="127" spans="4:24" ht="12.75">
      <c r="D127" s="189" t="s">
        <v>1091</v>
      </c>
      <c r="E127" s="190">
        <v>3</v>
      </c>
      <c r="F127" s="190">
        <f>BanDop!J62</f>
        <v>126</v>
      </c>
      <c r="G127" s="190"/>
      <c r="H127" s="191">
        <f t="shared" si="8"/>
        <v>0</v>
      </c>
      <c r="I127" s="190">
        <f t="shared" si="9"/>
        <v>0</v>
      </c>
      <c r="J127" s="215">
        <f>BanDop!K62</f>
        <v>0</v>
      </c>
      <c r="K127" s="192">
        <f>BanDop!L62</f>
        <v>0</v>
      </c>
      <c r="L127" s="60"/>
      <c r="M127" s="62"/>
      <c r="N127" s="62"/>
      <c r="O127" s="62"/>
      <c r="P127" s="62"/>
      <c r="Q127" s="62"/>
      <c r="R127" s="62"/>
      <c r="S127" s="62"/>
      <c r="T127" s="62"/>
      <c r="U127" s="62"/>
      <c r="V127" s="62"/>
      <c r="W127" s="62"/>
      <c r="X127" s="61"/>
    </row>
    <row r="128" spans="4:24" ht="12.75">
      <c r="D128" s="189" t="s">
        <v>1091</v>
      </c>
      <c r="E128" s="190">
        <v>3</v>
      </c>
      <c r="F128" s="190">
        <f>BanDop!J63</f>
        <v>127</v>
      </c>
      <c r="G128" s="190"/>
      <c r="H128" s="191">
        <f t="shared" si="8"/>
        <v>0</v>
      </c>
      <c r="I128" s="190">
        <f t="shared" si="9"/>
        <v>0</v>
      </c>
      <c r="J128" s="215">
        <f>BanDop!K63</f>
        <v>0</v>
      </c>
      <c r="K128" s="192">
        <f>BanDop!L63</f>
        <v>0</v>
      </c>
      <c r="L128" s="60"/>
      <c r="M128" s="62"/>
      <c r="N128" s="62"/>
      <c r="O128" s="62"/>
      <c r="P128" s="62"/>
      <c r="Q128" s="62"/>
      <c r="R128" s="62"/>
      <c r="S128" s="62"/>
      <c r="T128" s="62"/>
      <c r="U128" s="62"/>
      <c r="V128" s="62"/>
      <c r="W128" s="62"/>
      <c r="X128" s="61"/>
    </row>
    <row r="129" spans="4:24" ht="12.75">
      <c r="D129" s="189" t="s">
        <v>1091</v>
      </c>
      <c r="E129" s="190">
        <v>3</v>
      </c>
      <c r="F129" s="190">
        <f>BanDop!J64</f>
        <v>128</v>
      </c>
      <c r="G129" s="190"/>
      <c r="H129" s="191">
        <f t="shared" si="8"/>
        <v>0</v>
      </c>
      <c r="I129" s="190">
        <f t="shared" si="9"/>
        <v>0</v>
      </c>
      <c r="J129" s="215">
        <f>BanDop!K64</f>
        <v>0</v>
      </c>
      <c r="K129" s="192">
        <f>BanDop!L64</f>
        <v>0</v>
      </c>
      <c r="L129" s="60"/>
      <c r="M129" s="62"/>
      <c r="N129" s="62"/>
      <c r="O129" s="62"/>
      <c r="P129" s="62"/>
      <c r="Q129" s="62"/>
      <c r="R129" s="62"/>
      <c r="S129" s="62"/>
      <c r="T129" s="62"/>
      <c r="U129" s="62"/>
      <c r="V129" s="62"/>
      <c r="W129" s="62"/>
      <c r="X129" s="61"/>
    </row>
    <row r="130" spans="4:24" ht="12.75">
      <c r="D130" s="189" t="s">
        <v>1091</v>
      </c>
      <c r="E130" s="190">
        <v>3</v>
      </c>
      <c r="F130" s="190">
        <f>BanDop!J65</f>
        <v>129</v>
      </c>
      <c r="G130" s="190"/>
      <c r="H130" s="191">
        <f t="shared" si="8"/>
        <v>0</v>
      </c>
      <c r="I130" s="190">
        <f t="shared" si="9"/>
        <v>0</v>
      </c>
      <c r="J130" s="215">
        <f>BanDop!K65</f>
        <v>0</v>
      </c>
      <c r="K130" s="192">
        <f>BanDop!L65</f>
        <v>0</v>
      </c>
      <c r="L130" s="60"/>
      <c r="M130" s="62"/>
      <c r="N130" s="62"/>
      <c r="O130" s="62"/>
      <c r="P130" s="62"/>
      <c r="Q130" s="62"/>
      <c r="R130" s="62"/>
      <c r="S130" s="62"/>
      <c r="T130" s="62"/>
      <c r="U130" s="62"/>
      <c r="V130" s="62"/>
      <c r="W130" s="62"/>
      <c r="X130" s="61"/>
    </row>
    <row r="131" spans="4:24" ht="12.75">
      <c r="D131" s="189" t="s">
        <v>1091</v>
      </c>
      <c r="E131" s="190">
        <v>3</v>
      </c>
      <c r="F131" s="190">
        <f>BanDop!J66</f>
        <v>130</v>
      </c>
      <c r="G131" s="190"/>
      <c r="H131" s="191">
        <f t="shared" si="8"/>
        <v>0</v>
      </c>
      <c r="I131" s="190">
        <f t="shared" si="9"/>
        <v>0</v>
      </c>
      <c r="J131" s="215">
        <f>BanDop!K66</f>
        <v>0</v>
      </c>
      <c r="K131" s="192">
        <f>BanDop!L66</f>
        <v>0</v>
      </c>
      <c r="L131" s="60"/>
      <c r="M131" s="62"/>
      <c r="N131" s="62"/>
      <c r="O131" s="62"/>
      <c r="P131" s="62"/>
      <c r="Q131" s="62"/>
      <c r="R131" s="62"/>
      <c r="S131" s="62"/>
      <c r="T131" s="62"/>
      <c r="U131" s="62"/>
      <c r="V131" s="62"/>
      <c r="W131" s="62"/>
      <c r="X131" s="61"/>
    </row>
    <row r="132" spans="4:24" ht="12.75">
      <c r="D132" s="189" t="s">
        <v>1091</v>
      </c>
      <c r="E132" s="190">
        <v>3</v>
      </c>
      <c r="F132" s="190">
        <f>BanDop!J67</f>
        <v>131</v>
      </c>
      <c r="G132" s="190"/>
      <c r="H132" s="191">
        <f t="shared" si="8"/>
        <v>0</v>
      </c>
      <c r="I132" s="190">
        <f t="shared" si="9"/>
        <v>0</v>
      </c>
      <c r="J132" s="215">
        <f>BanDop!K67</f>
        <v>0</v>
      </c>
      <c r="K132" s="192">
        <f>BanDop!L67</f>
        <v>0</v>
      </c>
      <c r="L132" s="60"/>
      <c r="M132" s="62"/>
      <c r="N132" s="62"/>
      <c r="O132" s="62"/>
      <c r="P132" s="62"/>
      <c r="Q132" s="62"/>
      <c r="R132" s="62"/>
      <c r="S132" s="62"/>
      <c r="T132" s="62"/>
      <c r="U132" s="62"/>
      <c r="V132" s="62"/>
      <c r="W132" s="62"/>
      <c r="X132" s="61"/>
    </row>
    <row r="133" spans="4:24" ht="12.75">
      <c r="D133" s="189" t="s">
        <v>1091</v>
      </c>
      <c r="E133" s="190">
        <v>3</v>
      </c>
      <c r="F133" s="190">
        <f>BanDop!J68</f>
        <v>132</v>
      </c>
      <c r="G133" s="190"/>
      <c r="H133" s="191">
        <f t="shared" si="8"/>
        <v>0</v>
      </c>
      <c r="I133" s="190">
        <f t="shared" si="9"/>
        <v>0</v>
      </c>
      <c r="J133" s="215">
        <f>BanDop!K68</f>
        <v>0</v>
      </c>
      <c r="K133" s="192">
        <f>BanDop!L68</f>
        <v>0</v>
      </c>
      <c r="L133" s="60"/>
      <c r="M133" s="62"/>
      <c r="N133" s="62"/>
      <c r="O133" s="62"/>
      <c r="P133" s="62"/>
      <c r="Q133" s="62"/>
      <c r="R133" s="62"/>
      <c r="S133" s="62"/>
      <c r="T133" s="62"/>
      <c r="U133" s="62"/>
      <c r="V133" s="62"/>
      <c r="W133" s="62"/>
      <c r="X133" s="61"/>
    </row>
    <row r="134" spans="4:24" ht="12.75">
      <c r="D134" s="189" t="s">
        <v>1091</v>
      </c>
      <c r="E134" s="190">
        <v>3</v>
      </c>
      <c r="F134" s="190">
        <f>BanDop!J69</f>
        <v>133</v>
      </c>
      <c r="G134" s="190"/>
      <c r="H134" s="191">
        <f t="shared" si="8"/>
        <v>0</v>
      </c>
      <c r="I134" s="190">
        <f t="shared" si="9"/>
        <v>0</v>
      </c>
      <c r="J134" s="215">
        <f>BanDop!K69</f>
        <v>0</v>
      </c>
      <c r="K134" s="192">
        <f>BanDop!L69</f>
        <v>0</v>
      </c>
      <c r="L134" s="60"/>
      <c r="M134" s="62"/>
      <c r="N134" s="62"/>
      <c r="O134" s="62"/>
      <c r="P134" s="62"/>
      <c r="Q134" s="62"/>
      <c r="R134" s="62"/>
      <c r="S134" s="62"/>
      <c r="T134" s="62"/>
      <c r="U134" s="62"/>
      <c r="V134" s="62"/>
      <c r="W134" s="62"/>
      <c r="X134" s="61"/>
    </row>
    <row r="135" spans="4:24" ht="12.75">
      <c r="D135" s="189" t="s">
        <v>1091</v>
      </c>
      <c r="E135" s="190">
        <v>3</v>
      </c>
      <c r="F135" s="190">
        <f>BanDop!J70</f>
        <v>134</v>
      </c>
      <c r="G135" s="190"/>
      <c r="H135" s="191">
        <f t="shared" si="8"/>
        <v>0</v>
      </c>
      <c r="I135" s="190">
        <f t="shared" si="9"/>
        <v>0</v>
      </c>
      <c r="J135" s="215">
        <f>BanDop!K70</f>
        <v>0</v>
      </c>
      <c r="K135" s="192">
        <f>BanDop!L70</f>
        <v>0</v>
      </c>
      <c r="L135" s="60"/>
      <c r="M135" s="62"/>
      <c r="N135" s="62"/>
      <c r="O135" s="62"/>
      <c r="P135" s="62"/>
      <c r="Q135" s="62"/>
      <c r="R135" s="62"/>
      <c r="S135" s="62"/>
      <c r="T135" s="62"/>
      <c r="U135" s="62"/>
      <c r="V135" s="62"/>
      <c r="W135" s="62"/>
      <c r="X135" s="61"/>
    </row>
    <row r="136" spans="4:24" ht="12.75">
      <c r="D136" s="189" t="s">
        <v>1091</v>
      </c>
      <c r="E136" s="190">
        <v>3</v>
      </c>
      <c r="F136" s="190">
        <f>BanDop!J71</f>
        <v>135</v>
      </c>
      <c r="G136" s="190"/>
      <c r="H136" s="191">
        <f t="shared" si="8"/>
        <v>0</v>
      </c>
      <c r="I136" s="190">
        <f t="shared" si="9"/>
        <v>0</v>
      </c>
      <c r="J136" s="215">
        <f>BanDop!K71</f>
        <v>0</v>
      </c>
      <c r="K136" s="192">
        <f>BanDop!L71</f>
        <v>0</v>
      </c>
      <c r="L136" s="60"/>
      <c r="M136" s="62"/>
      <c r="N136" s="62"/>
      <c r="O136" s="62"/>
      <c r="P136" s="62"/>
      <c r="Q136" s="62"/>
      <c r="R136" s="62"/>
      <c r="S136" s="62"/>
      <c r="T136" s="62"/>
      <c r="U136" s="62"/>
      <c r="V136" s="62"/>
      <c r="W136" s="62"/>
      <c r="X136" s="61"/>
    </row>
    <row r="137" spans="4:24" ht="12.75">
      <c r="D137" s="189" t="s">
        <v>1091</v>
      </c>
      <c r="E137" s="190">
        <v>3</v>
      </c>
      <c r="F137" s="190">
        <f>BanDop!J72</f>
        <v>136</v>
      </c>
      <c r="G137" s="190"/>
      <c r="H137" s="191">
        <f t="shared" si="8"/>
        <v>0</v>
      </c>
      <c r="I137" s="190">
        <f t="shared" si="9"/>
        <v>0</v>
      </c>
      <c r="J137" s="215">
        <f>BanDop!K72</f>
        <v>0</v>
      </c>
      <c r="K137" s="192">
        <f>BanDop!L72</f>
        <v>0</v>
      </c>
      <c r="L137" s="60"/>
      <c r="M137" s="62"/>
      <c r="N137" s="62"/>
      <c r="O137" s="62"/>
      <c r="P137" s="62"/>
      <c r="Q137" s="62"/>
      <c r="R137" s="62"/>
      <c r="S137" s="62"/>
      <c r="T137" s="62"/>
      <c r="U137" s="62"/>
      <c r="V137" s="62"/>
      <c r="W137" s="62"/>
      <c r="X137" s="61"/>
    </row>
    <row r="138" spans="4:24" ht="12.75">
      <c r="D138" s="189" t="s">
        <v>1091</v>
      </c>
      <c r="E138" s="190">
        <v>3</v>
      </c>
      <c r="F138" s="190">
        <f>BanDop!J73</f>
        <v>137</v>
      </c>
      <c r="G138" s="190"/>
      <c r="H138" s="191">
        <f t="shared" si="8"/>
        <v>0</v>
      </c>
      <c r="I138" s="190">
        <f t="shared" si="9"/>
        <v>0</v>
      </c>
      <c r="J138" s="215">
        <f>BanDop!K73</f>
        <v>0</v>
      </c>
      <c r="K138" s="192">
        <f>BanDop!L73</f>
        <v>0</v>
      </c>
      <c r="L138" s="60"/>
      <c r="M138" s="62"/>
      <c r="N138" s="62"/>
      <c r="O138" s="62"/>
      <c r="P138" s="62"/>
      <c r="Q138" s="62"/>
      <c r="R138" s="62"/>
      <c r="S138" s="62"/>
      <c r="T138" s="62"/>
      <c r="U138" s="62"/>
      <c r="V138" s="62"/>
      <c r="W138" s="62"/>
      <c r="X138" s="61"/>
    </row>
    <row r="139" spans="4:24" ht="12.75">
      <c r="D139" s="189" t="s">
        <v>1091</v>
      </c>
      <c r="E139" s="190">
        <v>3</v>
      </c>
      <c r="F139" s="190">
        <f>BanDop!J74</f>
        <v>138</v>
      </c>
      <c r="G139" s="190"/>
      <c r="H139" s="191">
        <f t="shared" si="8"/>
        <v>0</v>
      </c>
      <c r="I139" s="190">
        <f t="shared" si="9"/>
        <v>0</v>
      </c>
      <c r="J139" s="215">
        <f>BanDop!K74</f>
        <v>0</v>
      </c>
      <c r="K139" s="192">
        <f>BanDop!L74</f>
        <v>0</v>
      </c>
      <c r="L139" s="60"/>
      <c r="M139" s="62"/>
      <c r="N139" s="62"/>
      <c r="O139" s="62"/>
      <c r="P139" s="62"/>
      <c r="Q139" s="62"/>
      <c r="R139" s="62"/>
      <c r="S139" s="62"/>
      <c r="T139" s="62"/>
      <c r="U139" s="62"/>
      <c r="V139" s="62"/>
      <c r="W139" s="62"/>
      <c r="X139" s="61"/>
    </row>
    <row r="140" spans="4:24" ht="12.75">
      <c r="D140" s="189" t="s">
        <v>1091</v>
      </c>
      <c r="E140" s="190">
        <v>3</v>
      </c>
      <c r="F140" s="190">
        <f>BanDop!J75</f>
        <v>139</v>
      </c>
      <c r="G140" s="190"/>
      <c r="H140" s="191">
        <f t="shared" si="8"/>
        <v>0</v>
      </c>
      <c r="I140" s="190">
        <f t="shared" si="9"/>
        <v>0</v>
      </c>
      <c r="J140" s="215">
        <f>BanDop!K75</f>
        <v>0</v>
      </c>
      <c r="K140" s="192">
        <f>BanDop!L75</f>
        <v>0</v>
      </c>
      <c r="L140" s="60"/>
      <c r="M140" s="62"/>
      <c r="N140" s="62"/>
      <c r="O140" s="62"/>
      <c r="P140" s="62"/>
      <c r="Q140" s="62"/>
      <c r="R140" s="62"/>
      <c r="S140" s="62"/>
      <c r="T140" s="62"/>
      <c r="U140" s="62"/>
      <c r="V140" s="62"/>
      <c r="W140" s="62"/>
      <c r="X140" s="61"/>
    </row>
    <row r="141" spans="4:24" ht="12.75">
      <c r="D141" s="189" t="s">
        <v>1091</v>
      </c>
      <c r="E141" s="190">
        <v>3</v>
      </c>
      <c r="F141" s="190">
        <f>BanDop!J76</f>
        <v>140</v>
      </c>
      <c r="G141" s="190"/>
      <c r="H141" s="191">
        <f aca="true" t="shared" si="10" ref="H141:H188">J141/100*F141+2*K141/100*F141</f>
        <v>0</v>
      </c>
      <c r="I141" s="190">
        <f aca="true" t="shared" si="11" ref="I141:I188">ABS(ROUND(J141,0)-J141)+ABS(ROUND(K141,0)-K141)</f>
        <v>0</v>
      </c>
      <c r="J141" s="215">
        <f>BanDop!K76</f>
        <v>0</v>
      </c>
      <c r="K141" s="192">
        <f>BanDop!L76</f>
        <v>0</v>
      </c>
      <c r="L141" s="60"/>
      <c r="M141" s="62"/>
      <c r="N141" s="62"/>
      <c r="O141" s="62"/>
      <c r="P141" s="62"/>
      <c r="Q141" s="62"/>
      <c r="R141" s="62"/>
      <c r="S141" s="62"/>
      <c r="T141" s="62"/>
      <c r="U141" s="62"/>
      <c r="V141" s="62"/>
      <c r="W141" s="62"/>
      <c r="X141" s="61"/>
    </row>
    <row r="142" spans="4:24" ht="12.75">
      <c r="D142" s="189" t="s">
        <v>1091</v>
      </c>
      <c r="E142" s="190">
        <v>3</v>
      </c>
      <c r="F142" s="190">
        <f>BanDop!J77</f>
        <v>141</v>
      </c>
      <c r="G142" s="190"/>
      <c r="H142" s="191">
        <f t="shared" si="10"/>
        <v>0</v>
      </c>
      <c r="I142" s="190">
        <f t="shared" si="11"/>
        <v>0</v>
      </c>
      <c r="J142" s="215">
        <f>BanDop!K77</f>
        <v>0</v>
      </c>
      <c r="K142" s="192">
        <f>BanDop!L77</f>
        <v>0</v>
      </c>
      <c r="L142" s="60"/>
      <c r="M142" s="62"/>
      <c r="N142" s="62"/>
      <c r="O142" s="62"/>
      <c r="P142" s="62"/>
      <c r="Q142" s="62"/>
      <c r="R142" s="62"/>
      <c r="S142" s="62"/>
      <c r="T142" s="62"/>
      <c r="U142" s="62"/>
      <c r="V142" s="62"/>
      <c r="W142" s="62"/>
      <c r="X142" s="61"/>
    </row>
    <row r="143" spans="4:24" ht="12.75">
      <c r="D143" s="189" t="s">
        <v>1091</v>
      </c>
      <c r="E143" s="190">
        <v>3</v>
      </c>
      <c r="F143" s="190">
        <f>BanDop!J78</f>
        <v>142</v>
      </c>
      <c r="G143" s="190"/>
      <c r="H143" s="191">
        <f t="shared" si="10"/>
        <v>0</v>
      </c>
      <c r="I143" s="190">
        <f t="shared" si="11"/>
        <v>0</v>
      </c>
      <c r="J143" s="215">
        <f>BanDop!K78</f>
        <v>0</v>
      </c>
      <c r="K143" s="192">
        <f>BanDop!L78</f>
        <v>0</v>
      </c>
      <c r="L143" s="60"/>
      <c r="M143" s="62"/>
      <c r="N143" s="62"/>
      <c r="O143" s="62"/>
      <c r="P143" s="62"/>
      <c r="Q143" s="62"/>
      <c r="R143" s="62"/>
      <c r="S143" s="62"/>
      <c r="T143" s="62"/>
      <c r="U143" s="62"/>
      <c r="V143" s="62"/>
      <c r="W143" s="62"/>
      <c r="X143" s="61"/>
    </row>
    <row r="144" spans="4:24" ht="12.75">
      <c r="D144" s="189" t="s">
        <v>1091</v>
      </c>
      <c r="E144" s="190">
        <v>3</v>
      </c>
      <c r="F144" s="190">
        <f>BanDop!J79</f>
        <v>143</v>
      </c>
      <c r="G144" s="190"/>
      <c r="H144" s="191">
        <f t="shared" si="10"/>
        <v>0</v>
      </c>
      <c r="I144" s="190">
        <f t="shared" si="11"/>
        <v>0</v>
      </c>
      <c r="J144" s="215">
        <f>BanDop!K79</f>
        <v>0</v>
      </c>
      <c r="K144" s="192">
        <f>BanDop!L79</f>
        <v>0</v>
      </c>
      <c r="L144" s="60"/>
      <c r="M144" s="62"/>
      <c r="N144" s="62"/>
      <c r="O144" s="62"/>
      <c r="P144" s="62"/>
      <c r="Q144" s="62"/>
      <c r="R144" s="62"/>
      <c r="S144" s="62"/>
      <c r="T144" s="62"/>
      <c r="U144" s="62"/>
      <c r="V144" s="62"/>
      <c r="W144" s="62"/>
      <c r="X144" s="61"/>
    </row>
    <row r="145" spans="4:24" ht="12.75">
      <c r="D145" s="189" t="s">
        <v>1091</v>
      </c>
      <c r="E145" s="190">
        <v>3</v>
      </c>
      <c r="F145" s="190">
        <f>BanDop!J80</f>
        <v>144</v>
      </c>
      <c r="G145" s="190"/>
      <c r="H145" s="191">
        <f t="shared" si="10"/>
        <v>0</v>
      </c>
      <c r="I145" s="190">
        <f t="shared" si="11"/>
        <v>0</v>
      </c>
      <c r="J145" s="215">
        <f>BanDop!K80</f>
        <v>0</v>
      </c>
      <c r="K145" s="192">
        <f>BanDop!L80</f>
        <v>0</v>
      </c>
      <c r="L145" s="60"/>
      <c r="M145" s="62"/>
      <c r="N145" s="62"/>
      <c r="O145" s="62"/>
      <c r="P145" s="62"/>
      <c r="Q145" s="62"/>
      <c r="R145" s="62"/>
      <c r="S145" s="62"/>
      <c r="T145" s="62"/>
      <c r="U145" s="62"/>
      <c r="V145" s="62"/>
      <c r="W145" s="62"/>
      <c r="X145" s="61"/>
    </row>
    <row r="146" spans="4:24" ht="12.75">
      <c r="D146" s="189" t="s">
        <v>1091</v>
      </c>
      <c r="E146" s="190">
        <v>3</v>
      </c>
      <c r="F146" s="190">
        <f>BanDop!J81</f>
        <v>145</v>
      </c>
      <c r="G146" s="190"/>
      <c r="H146" s="191">
        <f t="shared" si="10"/>
        <v>0</v>
      </c>
      <c r="I146" s="190">
        <f t="shared" si="11"/>
        <v>0</v>
      </c>
      <c r="J146" s="215">
        <f>BanDop!K81</f>
        <v>0</v>
      </c>
      <c r="K146" s="192">
        <f>BanDop!L81</f>
        <v>0</v>
      </c>
      <c r="L146" s="60"/>
      <c r="M146" s="62"/>
      <c r="N146" s="62"/>
      <c r="O146" s="62"/>
      <c r="P146" s="62"/>
      <c r="Q146" s="62"/>
      <c r="R146" s="62"/>
      <c r="S146" s="62"/>
      <c r="T146" s="62"/>
      <c r="U146" s="62"/>
      <c r="V146" s="62"/>
      <c r="W146" s="62"/>
      <c r="X146" s="61"/>
    </row>
    <row r="147" spans="4:24" ht="12.75">
      <c r="D147" s="189" t="s">
        <v>1091</v>
      </c>
      <c r="E147" s="190">
        <v>3</v>
      </c>
      <c r="F147" s="190">
        <f>BanDop!J82</f>
        <v>146</v>
      </c>
      <c r="G147" s="190"/>
      <c r="H147" s="191">
        <f t="shared" si="10"/>
        <v>0</v>
      </c>
      <c r="I147" s="190">
        <f t="shared" si="11"/>
        <v>0</v>
      </c>
      <c r="J147" s="215">
        <f>BanDop!K82</f>
        <v>0</v>
      </c>
      <c r="K147" s="192">
        <f>BanDop!L82</f>
        <v>0</v>
      </c>
      <c r="L147" s="60"/>
      <c r="M147" s="62"/>
      <c r="N147" s="62"/>
      <c r="O147" s="62"/>
      <c r="P147" s="62"/>
      <c r="Q147" s="62"/>
      <c r="R147" s="62"/>
      <c r="S147" s="62"/>
      <c r="T147" s="62"/>
      <c r="U147" s="62"/>
      <c r="V147" s="62"/>
      <c r="W147" s="62"/>
      <c r="X147" s="61"/>
    </row>
    <row r="148" spans="4:24" ht="12.75">
      <c r="D148" s="189" t="s">
        <v>1091</v>
      </c>
      <c r="E148" s="190">
        <v>3</v>
      </c>
      <c r="F148" s="190">
        <f>BanDop!J83</f>
        <v>147</v>
      </c>
      <c r="G148" s="190"/>
      <c r="H148" s="191">
        <f t="shared" si="10"/>
        <v>0</v>
      </c>
      <c r="I148" s="190">
        <f t="shared" si="11"/>
        <v>0</v>
      </c>
      <c r="J148" s="215">
        <f>BanDop!K83</f>
        <v>0</v>
      </c>
      <c r="K148" s="192">
        <f>BanDop!L83</f>
        <v>0</v>
      </c>
      <c r="L148" s="60"/>
      <c r="M148" s="62"/>
      <c r="N148" s="62"/>
      <c r="O148" s="62"/>
      <c r="P148" s="62"/>
      <c r="Q148" s="62"/>
      <c r="R148" s="62"/>
      <c r="S148" s="62"/>
      <c r="T148" s="62"/>
      <c r="U148" s="62"/>
      <c r="V148" s="62"/>
      <c r="W148" s="62"/>
      <c r="X148" s="61"/>
    </row>
    <row r="149" spans="4:24" ht="12.75">
      <c r="D149" s="189" t="s">
        <v>1091</v>
      </c>
      <c r="E149" s="190">
        <v>3</v>
      </c>
      <c r="F149" s="190">
        <f>BanDop!J84</f>
        <v>148</v>
      </c>
      <c r="G149" s="190"/>
      <c r="H149" s="191">
        <f t="shared" si="10"/>
        <v>0</v>
      </c>
      <c r="I149" s="190">
        <f t="shared" si="11"/>
        <v>0</v>
      </c>
      <c r="J149" s="215">
        <f>BanDop!K84</f>
        <v>0</v>
      </c>
      <c r="K149" s="192">
        <f>BanDop!L84</f>
        <v>0</v>
      </c>
      <c r="L149" s="60"/>
      <c r="M149" s="62"/>
      <c r="N149" s="62"/>
      <c r="O149" s="62"/>
      <c r="P149" s="62"/>
      <c r="Q149" s="62"/>
      <c r="R149" s="62"/>
      <c r="S149" s="62"/>
      <c r="T149" s="62"/>
      <c r="U149" s="62"/>
      <c r="V149" s="62"/>
      <c r="W149" s="62"/>
      <c r="X149" s="61"/>
    </row>
    <row r="150" spans="4:24" ht="12.75">
      <c r="D150" s="189" t="s">
        <v>1091</v>
      </c>
      <c r="E150" s="190">
        <v>3</v>
      </c>
      <c r="F150" s="190">
        <f>BanDop!J85</f>
        <v>149</v>
      </c>
      <c r="G150" s="190"/>
      <c r="H150" s="191">
        <f t="shared" si="10"/>
        <v>0</v>
      </c>
      <c r="I150" s="190">
        <f t="shared" si="11"/>
        <v>0</v>
      </c>
      <c r="J150" s="215">
        <f>BanDop!K85</f>
        <v>0</v>
      </c>
      <c r="K150" s="192">
        <f>BanDop!L85</f>
        <v>0</v>
      </c>
      <c r="L150" s="60"/>
      <c r="M150" s="62"/>
      <c r="N150" s="62"/>
      <c r="O150" s="62"/>
      <c r="P150" s="62"/>
      <c r="Q150" s="62"/>
      <c r="R150" s="62"/>
      <c r="S150" s="62"/>
      <c r="T150" s="62"/>
      <c r="U150" s="62"/>
      <c r="V150" s="62"/>
      <c r="W150" s="62"/>
      <c r="X150" s="61"/>
    </row>
    <row r="151" spans="4:24" ht="12.75">
      <c r="D151" s="189" t="s">
        <v>1091</v>
      </c>
      <c r="E151" s="190">
        <v>3</v>
      </c>
      <c r="F151" s="190">
        <f>BanDop!J86</f>
        <v>150</v>
      </c>
      <c r="G151" s="190"/>
      <c r="H151" s="191">
        <f t="shared" si="10"/>
        <v>0</v>
      </c>
      <c r="I151" s="190">
        <f t="shared" si="11"/>
        <v>0</v>
      </c>
      <c r="J151" s="215">
        <f>BanDop!K86</f>
        <v>0</v>
      </c>
      <c r="K151" s="192">
        <f>BanDop!L86</f>
        <v>0</v>
      </c>
      <c r="L151" s="60"/>
      <c r="M151" s="62"/>
      <c r="N151" s="62"/>
      <c r="O151" s="62"/>
      <c r="P151" s="62"/>
      <c r="Q151" s="62"/>
      <c r="R151" s="62"/>
      <c r="S151" s="62"/>
      <c r="T151" s="62"/>
      <c r="U151" s="62"/>
      <c r="V151" s="62"/>
      <c r="W151" s="62"/>
      <c r="X151" s="61"/>
    </row>
    <row r="152" spans="4:24" ht="12.75">
      <c r="D152" s="189" t="s">
        <v>1091</v>
      </c>
      <c r="E152" s="190">
        <v>3</v>
      </c>
      <c r="F152" s="190">
        <f>BanDop!J87</f>
        <v>151</v>
      </c>
      <c r="G152" s="190"/>
      <c r="H152" s="191">
        <f t="shared" si="10"/>
        <v>0</v>
      </c>
      <c r="I152" s="190">
        <f t="shared" si="11"/>
        <v>0</v>
      </c>
      <c r="J152" s="215">
        <f>BanDop!K87</f>
        <v>0</v>
      </c>
      <c r="K152" s="192">
        <f>BanDop!L87</f>
        <v>0</v>
      </c>
      <c r="L152" s="60"/>
      <c r="M152" s="62"/>
      <c r="N152" s="62"/>
      <c r="O152" s="62"/>
      <c r="P152" s="62"/>
      <c r="Q152" s="62"/>
      <c r="R152" s="62"/>
      <c r="S152" s="62"/>
      <c r="T152" s="62"/>
      <c r="U152" s="62"/>
      <c r="V152" s="62"/>
      <c r="W152" s="62"/>
      <c r="X152" s="61"/>
    </row>
    <row r="153" spans="4:24" ht="12.75">
      <c r="D153" s="189" t="s">
        <v>1091</v>
      </c>
      <c r="E153" s="190">
        <v>3</v>
      </c>
      <c r="F153" s="190">
        <f>BanDop!J88</f>
        <v>152</v>
      </c>
      <c r="G153" s="190"/>
      <c r="H153" s="191">
        <f t="shared" si="10"/>
        <v>0</v>
      </c>
      <c r="I153" s="190">
        <f t="shared" si="11"/>
        <v>0</v>
      </c>
      <c r="J153" s="215">
        <f>BanDop!K88</f>
        <v>0</v>
      </c>
      <c r="K153" s="192">
        <f>BanDop!L88</f>
        <v>0</v>
      </c>
      <c r="L153" s="60"/>
      <c r="M153" s="62"/>
      <c r="N153" s="62"/>
      <c r="O153" s="62"/>
      <c r="P153" s="62"/>
      <c r="Q153" s="62"/>
      <c r="R153" s="62"/>
      <c r="S153" s="62"/>
      <c r="T153" s="62"/>
      <c r="U153" s="62"/>
      <c r="V153" s="62"/>
      <c r="W153" s="62"/>
      <c r="X153" s="61"/>
    </row>
    <row r="154" spans="4:24" ht="12.75">
      <c r="D154" s="189" t="s">
        <v>1091</v>
      </c>
      <c r="E154" s="190">
        <v>3</v>
      </c>
      <c r="F154" s="190">
        <f>BanDop!J89</f>
        <v>153</v>
      </c>
      <c r="G154" s="190"/>
      <c r="H154" s="191">
        <f t="shared" si="10"/>
        <v>0</v>
      </c>
      <c r="I154" s="190">
        <f t="shared" si="11"/>
        <v>0</v>
      </c>
      <c r="J154" s="215">
        <f>BanDop!K89</f>
        <v>0</v>
      </c>
      <c r="K154" s="192">
        <f>BanDop!L89</f>
        <v>0</v>
      </c>
      <c r="L154" s="60"/>
      <c r="M154" s="62"/>
      <c r="N154" s="62"/>
      <c r="O154" s="62"/>
      <c r="P154" s="62"/>
      <c r="Q154" s="62"/>
      <c r="R154" s="62"/>
      <c r="S154" s="62"/>
      <c r="T154" s="62"/>
      <c r="U154" s="62"/>
      <c r="V154" s="62"/>
      <c r="W154" s="62"/>
      <c r="X154" s="61"/>
    </row>
    <row r="155" spans="4:24" ht="12.75">
      <c r="D155" s="189" t="s">
        <v>1091</v>
      </c>
      <c r="E155" s="190">
        <v>3</v>
      </c>
      <c r="F155" s="190">
        <f>BanDop!J90</f>
        <v>154</v>
      </c>
      <c r="G155" s="190"/>
      <c r="H155" s="191">
        <f t="shared" si="10"/>
        <v>0</v>
      </c>
      <c r="I155" s="190">
        <f t="shared" si="11"/>
        <v>0</v>
      </c>
      <c r="J155" s="215">
        <f>BanDop!K90</f>
        <v>0</v>
      </c>
      <c r="K155" s="192">
        <f>BanDop!L90</f>
        <v>0</v>
      </c>
      <c r="L155" s="60"/>
      <c r="M155" s="62"/>
      <c r="N155" s="62"/>
      <c r="O155" s="62"/>
      <c r="P155" s="62"/>
      <c r="Q155" s="62"/>
      <c r="R155" s="62"/>
      <c r="S155" s="62"/>
      <c r="T155" s="62"/>
      <c r="U155" s="62"/>
      <c r="V155" s="62"/>
      <c r="W155" s="62"/>
      <c r="X155" s="61"/>
    </row>
    <row r="156" spans="4:24" ht="12.75">
      <c r="D156" s="189" t="s">
        <v>1091</v>
      </c>
      <c r="E156" s="190">
        <v>3</v>
      </c>
      <c r="F156" s="190">
        <f>BanDop!J91</f>
        <v>155</v>
      </c>
      <c r="G156" s="190"/>
      <c r="H156" s="191">
        <f t="shared" si="10"/>
        <v>0</v>
      </c>
      <c r="I156" s="190">
        <f t="shared" si="11"/>
        <v>0</v>
      </c>
      <c r="J156" s="215">
        <f>BanDop!K91</f>
        <v>0</v>
      </c>
      <c r="K156" s="192">
        <f>BanDop!L91</f>
        <v>0</v>
      </c>
      <c r="L156" s="60"/>
      <c r="M156" s="62"/>
      <c r="N156" s="62"/>
      <c r="O156" s="62"/>
      <c r="P156" s="62"/>
      <c r="Q156" s="62"/>
      <c r="R156" s="62"/>
      <c r="S156" s="62"/>
      <c r="T156" s="62"/>
      <c r="U156" s="62"/>
      <c r="V156" s="62"/>
      <c r="W156" s="62"/>
      <c r="X156" s="61"/>
    </row>
    <row r="157" spans="4:24" ht="12.75">
      <c r="D157" s="189" t="s">
        <v>1091</v>
      </c>
      <c r="E157" s="190">
        <v>3</v>
      </c>
      <c r="F157" s="190">
        <f>BanDop!J92</f>
        <v>156</v>
      </c>
      <c r="G157" s="190"/>
      <c r="H157" s="191">
        <f t="shared" si="10"/>
        <v>0</v>
      </c>
      <c r="I157" s="190">
        <f t="shared" si="11"/>
        <v>0</v>
      </c>
      <c r="J157" s="215">
        <f>BanDop!K92</f>
        <v>0</v>
      </c>
      <c r="K157" s="192">
        <f>BanDop!L92</f>
        <v>0</v>
      </c>
      <c r="L157" s="60"/>
      <c r="M157" s="62"/>
      <c r="N157" s="62"/>
      <c r="O157" s="62"/>
      <c r="P157" s="62"/>
      <c r="Q157" s="62"/>
      <c r="R157" s="62"/>
      <c r="S157" s="62"/>
      <c r="T157" s="62"/>
      <c r="U157" s="62"/>
      <c r="V157" s="62"/>
      <c r="W157" s="62"/>
      <c r="X157" s="61"/>
    </row>
    <row r="158" spans="4:24" ht="12.75">
      <c r="D158" s="189" t="s">
        <v>1091</v>
      </c>
      <c r="E158" s="190">
        <v>3</v>
      </c>
      <c r="F158" s="190">
        <f>BanDop!J93</f>
        <v>157</v>
      </c>
      <c r="G158" s="190"/>
      <c r="H158" s="191">
        <f t="shared" si="10"/>
        <v>0</v>
      </c>
      <c r="I158" s="190">
        <f t="shared" si="11"/>
        <v>0</v>
      </c>
      <c r="J158" s="215">
        <f>BanDop!K93</f>
        <v>0</v>
      </c>
      <c r="K158" s="192">
        <f>BanDop!L93</f>
        <v>0</v>
      </c>
      <c r="L158" s="60"/>
      <c r="M158" s="62"/>
      <c r="N158" s="62"/>
      <c r="O158" s="62"/>
      <c r="P158" s="62"/>
      <c r="Q158" s="62"/>
      <c r="R158" s="62"/>
      <c r="S158" s="62"/>
      <c r="T158" s="62"/>
      <c r="U158" s="62"/>
      <c r="V158" s="62"/>
      <c r="W158" s="62"/>
      <c r="X158" s="61"/>
    </row>
    <row r="159" spans="4:24" ht="12.75">
      <c r="D159" s="189" t="s">
        <v>1091</v>
      </c>
      <c r="E159" s="190">
        <v>3</v>
      </c>
      <c r="F159" s="190">
        <f>BanDop!J94</f>
        <v>158</v>
      </c>
      <c r="G159" s="190"/>
      <c r="H159" s="191">
        <f t="shared" si="10"/>
        <v>0</v>
      </c>
      <c r="I159" s="190">
        <f t="shared" si="11"/>
        <v>0</v>
      </c>
      <c r="J159" s="215">
        <f>BanDop!K94</f>
        <v>0</v>
      </c>
      <c r="K159" s="192">
        <f>BanDop!L94</f>
        <v>0</v>
      </c>
      <c r="L159" s="60"/>
      <c r="M159" s="62"/>
      <c r="N159" s="62"/>
      <c r="O159" s="62"/>
      <c r="P159" s="62"/>
      <c r="Q159" s="62"/>
      <c r="R159" s="62"/>
      <c r="S159" s="62"/>
      <c r="T159" s="62"/>
      <c r="U159" s="62"/>
      <c r="V159" s="62"/>
      <c r="W159" s="62"/>
      <c r="X159" s="61"/>
    </row>
    <row r="160" spans="4:24" ht="12.75">
      <c r="D160" s="189" t="s">
        <v>1091</v>
      </c>
      <c r="E160" s="190">
        <v>3</v>
      </c>
      <c r="F160" s="190">
        <f>BanDop!J95</f>
        <v>159</v>
      </c>
      <c r="G160" s="190"/>
      <c r="H160" s="191">
        <f t="shared" si="10"/>
        <v>0</v>
      </c>
      <c r="I160" s="190">
        <f t="shared" si="11"/>
        <v>0</v>
      </c>
      <c r="J160" s="215">
        <f>BanDop!K95</f>
        <v>0</v>
      </c>
      <c r="K160" s="192">
        <f>BanDop!L95</f>
        <v>0</v>
      </c>
      <c r="L160" s="60"/>
      <c r="M160" s="62"/>
      <c r="N160" s="62"/>
      <c r="O160" s="62"/>
      <c r="P160" s="62"/>
      <c r="Q160" s="62"/>
      <c r="R160" s="62"/>
      <c r="S160" s="62"/>
      <c r="T160" s="62"/>
      <c r="U160" s="62"/>
      <c r="V160" s="62"/>
      <c r="W160" s="62"/>
      <c r="X160" s="61"/>
    </row>
    <row r="161" spans="4:24" ht="12.75">
      <c r="D161" s="189" t="s">
        <v>1091</v>
      </c>
      <c r="E161" s="190">
        <v>3</v>
      </c>
      <c r="F161" s="190">
        <f>BanDop!J96</f>
        <v>160</v>
      </c>
      <c r="G161" s="190"/>
      <c r="H161" s="191">
        <f t="shared" si="10"/>
        <v>0</v>
      </c>
      <c r="I161" s="190">
        <f t="shared" si="11"/>
        <v>0</v>
      </c>
      <c r="J161" s="215">
        <f>BanDop!K96</f>
        <v>0</v>
      </c>
      <c r="K161" s="192">
        <f>BanDop!L96</f>
        <v>0</v>
      </c>
      <c r="L161" s="60"/>
      <c r="M161" s="62"/>
      <c r="N161" s="62"/>
      <c r="O161" s="62"/>
      <c r="P161" s="62"/>
      <c r="Q161" s="62"/>
      <c r="R161" s="62"/>
      <c r="S161" s="62"/>
      <c r="T161" s="62"/>
      <c r="U161" s="62"/>
      <c r="V161" s="62"/>
      <c r="W161" s="62"/>
      <c r="X161" s="61"/>
    </row>
    <row r="162" spans="4:24" ht="12.75">
      <c r="D162" s="189" t="s">
        <v>1091</v>
      </c>
      <c r="E162" s="190">
        <v>3</v>
      </c>
      <c r="F162" s="190">
        <f>BanDop!J97</f>
        <v>161</v>
      </c>
      <c r="G162" s="190"/>
      <c r="H162" s="191">
        <f t="shared" si="10"/>
        <v>0</v>
      </c>
      <c r="I162" s="190">
        <f t="shared" si="11"/>
        <v>0</v>
      </c>
      <c r="J162" s="215">
        <f>BanDop!K97</f>
        <v>0</v>
      </c>
      <c r="K162" s="192">
        <f>BanDop!L97</f>
        <v>0</v>
      </c>
      <c r="L162" s="60"/>
      <c r="M162" s="62"/>
      <c r="N162" s="62"/>
      <c r="O162" s="62"/>
      <c r="P162" s="62"/>
      <c r="Q162" s="62"/>
      <c r="R162" s="62"/>
      <c r="S162" s="62"/>
      <c r="T162" s="62"/>
      <c r="U162" s="62"/>
      <c r="V162" s="62"/>
      <c r="W162" s="62"/>
      <c r="X162" s="61"/>
    </row>
    <row r="163" spans="4:24" ht="12.75">
      <c r="D163" s="189" t="s">
        <v>1091</v>
      </c>
      <c r="E163" s="190">
        <v>3</v>
      </c>
      <c r="F163" s="190">
        <f>BanDop!J98</f>
        <v>162</v>
      </c>
      <c r="G163" s="190"/>
      <c r="H163" s="191">
        <f t="shared" si="10"/>
        <v>0</v>
      </c>
      <c r="I163" s="190">
        <f t="shared" si="11"/>
        <v>0</v>
      </c>
      <c r="J163" s="215">
        <f>BanDop!K98</f>
        <v>0</v>
      </c>
      <c r="K163" s="192">
        <f>BanDop!L98</f>
        <v>0</v>
      </c>
      <c r="L163" s="60"/>
      <c r="M163" s="62"/>
      <c r="N163" s="62"/>
      <c r="O163" s="62"/>
      <c r="P163" s="62"/>
      <c r="Q163" s="62"/>
      <c r="R163" s="62"/>
      <c r="S163" s="62"/>
      <c r="T163" s="62"/>
      <c r="U163" s="62"/>
      <c r="V163" s="62"/>
      <c r="W163" s="62"/>
      <c r="X163" s="61"/>
    </row>
    <row r="164" spans="4:24" ht="12.75">
      <c r="D164" s="189" t="s">
        <v>1091</v>
      </c>
      <c r="E164" s="190">
        <v>3</v>
      </c>
      <c r="F164" s="190">
        <f>BanDop!J99</f>
        <v>163</v>
      </c>
      <c r="G164" s="190"/>
      <c r="H164" s="191">
        <f t="shared" si="10"/>
        <v>0</v>
      </c>
      <c r="I164" s="190">
        <f t="shared" si="11"/>
        <v>0</v>
      </c>
      <c r="J164" s="215">
        <f>BanDop!K99</f>
        <v>0</v>
      </c>
      <c r="K164" s="192">
        <f>BanDop!L99</f>
        <v>0</v>
      </c>
      <c r="L164" s="60"/>
      <c r="M164" s="62"/>
      <c r="N164" s="62"/>
      <c r="O164" s="62"/>
      <c r="P164" s="62"/>
      <c r="Q164" s="62"/>
      <c r="R164" s="62"/>
      <c r="S164" s="62"/>
      <c r="T164" s="62"/>
      <c r="U164" s="62"/>
      <c r="V164" s="62"/>
      <c r="W164" s="62"/>
      <c r="X164" s="61"/>
    </row>
    <row r="165" spans="4:24" ht="12.75">
      <c r="D165" s="189" t="s">
        <v>1091</v>
      </c>
      <c r="E165" s="190">
        <v>3</v>
      </c>
      <c r="F165" s="190">
        <f>BanDop!J100</f>
        <v>164</v>
      </c>
      <c r="G165" s="190"/>
      <c r="H165" s="191">
        <f t="shared" si="10"/>
        <v>0</v>
      </c>
      <c r="I165" s="190">
        <f t="shared" si="11"/>
        <v>0</v>
      </c>
      <c r="J165" s="215">
        <f>BanDop!K100</f>
        <v>0</v>
      </c>
      <c r="K165" s="192">
        <f>BanDop!L100</f>
        <v>0</v>
      </c>
      <c r="L165" s="60"/>
      <c r="M165" s="62"/>
      <c r="N165" s="62"/>
      <c r="O165" s="62"/>
      <c r="P165" s="62"/>
      <c r="Q165" s="62"/>
      <c r="R165" s="62"/>
      <c r="S165" s="62"/>
      <c r="T165" s="62"/>
      <c r="U165" s="62"/>
      <c r="V165" s="62"/>
      <c r="W165" s="62"/>
      <c r="X165" s="61"/>
    </row>
    <row r="166" spans="4:24" ht="12.75">
      <c r="D166" s="189" t="s">
        <v>1091</v>
      </c>
      <c r="E166" s="190">
        <v>3</v>
      </c>
      <c r="F166" s="190">
        <f>BanDop!J101</f>
        <v>165</v>
      </c>
      <c r="G166" s="190"/>
      <c r="H166" s="191">
        <f t="shared" si="10"/>
        <v>0</v>
      </c>
      <c r="I166" s="190">
        <f t="shared" si="11"/>
        <v>0</v>
      </c>
      <c r="J166" s="215">
        <f>BanDop!K101</f>
        <v>0</v>
      </c>
      <c r="K166" s="192">
        <f>BanDop!L101</f>
        <v>0</v>
      </c>
      <c r="L166" s="60"/>
      <c r="M166" s="62"/>
      <c r="N166" s="62"/>
      <c r="O166" s="62"/>
      <c r="P166" s="62"/>
      <c r="Q166" s="62"/>
      <c r="R166" s="62"/>
      <c r="S166" s="62"/>
      <c r="T166" s="62"/>
      <c r="U166" s="62"/>
      <c r="V166" s="62"/>
      <c r="W166" s="62"/>
      <c r="X166" s="61"/>
    </row>
    <row r="167" spans="4:24" ht="12.75">
      <c r="D167" s="189" t="s">
        <v>1091</v>
      </c>
      <c r="E167" s="190">
        <v>3</v>
      </c>
      <c r="F167" s="190">
        <f>BanDop!J102</f>
        <v>166</v>
      </c>
      <c r="G167" s="190"/>
      <c r="H167" s="191">
        <f t="shared" si="10"/>
        <v>0</v>
      </c>
      <c r="I167" s="190">
        <f t="shared" si="11"/>
        <v>0</v>
      </c>
      <c r="J167" s="215">
        <f>BanDop!K102</f>
        <v>0</v>
      </c>
      <c r="K167" s="192">
        <f>BanDop!L102</f>
        <v>0</v>
      </c>
      <c r="L167" s="60"/>
      <c r="M167" s="62"/>
      <c r="N167" s="62"/>
      <c r="O167" s="62"/>
      <c r="P167" s="62"/>
      <c r="Q167" s="62"/>
      <c r="R167" s="62"/>
      <c r="S167" s="62"/>
      <c r="T167" s="62"/>
      <c r="U167" s="62"/>
      <c r="V167" s="62"/>
      <c r="W167" s="62"/>
      <c r="X167" s="61"/>
    </row>
    <row r="168" spans="4:24" ht="12.75">
      <c r="D168" s="189" t="s">
        <v>1091</v>
      </c>
      <c r="E168" s="190">
        <v>3</v>
      </c>
      <c r="F168" s="190">
        <f>BanDop!J103</f>
        <v>167</v>
      </c>
      <c r="G168" s="190"/>
      <c r="H168" s="191">
        <f t="shared" si="10"/>
        <v>0</v>
      </c>
      <c r="I168" s="190">
        <f t="shared" si="11"/>
        <v>0</v>
      </c>
      <c r="J168" s="215">
        <f>BanDop!K103</f>
        <v>0</v>
      </c>
      <c r="K168" s="192">
        <f>BanDop!L103</f>
        <v>0</v>
      </c>
      <c r="L168" s="60"/>
      <c r="M168" s="62"/>
      <c r="N168" s="62"/>
      <c r="O168" s="62"/>
      <c r="P168" s="62"/>
      <c r="Q168" s="62"/>
      <c r="R168" s="62"/>
      <c r="S168" s="62"/>
      <c r="T168" s="62"/>
      <c r="U168" s="62"/>
      <c r="V168" s="62"/>
      <c r="W168" s="62"/>
      <c r="X168" s="61"/>
    </row>
    <row r="169" spans="4:24" ht="12.75">
      <c r="D169" s="189" t="s">
        <v>1091</v>
      </c>
      <c r="E169" s="190">
        <v>3</v>
      </c>
      <c r="F169" s="190">
        <f>BanDop!J104</f>
        <v>168</v>
      </c>
      <c r="G169" s="190"/>
      <c r="H169" s="191">
        <f t="shared" si="10"/>
        <v>0</v>
      </c>
      <c r="I169" s="190">
        <f t="shared" si="11"/>
        <v>0</v>
      </c>
      <c r="J169" s="215">
        <f>BanDop!K104</f>
        <v>0</v>
      </c>
      <c r="K169" s="192">
        <f>BanDop!L104</f>
        <v>0</v>
      </c>
      <c r="L169" s="60"/>
      <c r="M169" s="62"/>
      <c r="N169" s="62"/>
      <c r="O169" s="62"/>
      <c r="P169" s="62"/>
      <c r="Q169" s="62"/>
      <c r="R169" s="62"/>
      <c r="S169" s="62"/>
      <c r="T169" s="62"/>
      <c r="U169" s="62"/>
      <c r="V169" s="62"/>
      <c r="W169" s="62"/>
      <c r="X169" s="61"/>
    </row>
    <row r="170" spans="4:24" ht="12.75">
      <c r="D170" s="189" t="s">
        <v>1091</v>
      </c>
      <c r="E170" s="190">
        <v>3</v>
      </c>
      <c r="F170" s="190">
        <f>BanDop!J105</f>
        <v>169</v>
      </c>
      <c r="G170" s="190"/>
      <c r="H170" s="191">
        <f t="shared" si="10"/>
        <v>0</v>
      </c>
      <c r="I170" s="190">
        <f t="shared" si="11"/>
        <v>0</v>
      </c>
      <c r="J170" s="215">
        <f>BanDop!K105</f>
        <v>0</v>
      </c>
      <c r="K170" s="192">
        <f>BanDop!L105</f>
        <v>0</v>
      </c>
      <c r="L170" s="60"/>
      <c r="M170" s="62"/>
      <c r="N170" s="62"/>
      <c r="O170" s="62"/>
      <c r="P170" s="62"/>
      <c r="Q170" s="62"/>
      <c r="R170" s="62"/>
      <c r="S170" s="62"/>
      <c r="T170" s="62"/>
      <c r="U170" s="62"/>
      <c r="V170" s="62"/>
      <c r="W170" s="62"/>
      <c r="X170" s="61"/>
    </row>
    <row r="171" spans="4:24" ht="12.75">
      <c r="D171" s="189" t="s">
        <v>1091</v>
      </c>
      <c r="E171" s="190">
        <v>3</v>
      </c>
      <c r="F171" s="190">
        <f>BanDop!J106</f>
        <v>170</v>
      </c>
      <c r="G171" s="190"/>
      <c r="H171" s="191">
        <f t="shared" si="10"/>
        <v>0</v>
      </c>
      <c r="I171" s="190">
        <f t="shared" si="11"/>
        <v>0</v>
      </c>
      <c r="J171" s="215">
        <f>BanDop!K106</f>
        <v>0</v>
      </c>
      <c r="K171" s="192">
        <f>BanDop!L106</f>
        <v>0</v>
      </c>
      <c r="L171" s="60"/>
      <c r="M171" s="62"/>
      <c r="N171" s="62"/>
      <c r="O171" s="62"/>
      <c r="P171" s="62"/>
      <c r="Q171" s="62"/>
      <c r="R171" s="62"/>
      <c r="S171" s="62"/>
      <c r="T171" s="62"/>
      <c r="U171" s="62"/>
      <c r="V171" s="62"/>
      <c r="W171" s="62"/>
      <c r="X171" s="61"/>
    </row>
    <row r="172" spans="4:24" ht="12.75">
      <c r="D172" s="189" t="s">
        <v>1091</v>
      </c>
      <c r="E172" s="190">
        <v>3</v>
      </c>
      <c r="F172" s="190">
        <f>BanDop!J107</f>
        <v>171</v>
      </c>
      <c r="G172" s="190"/>
      <c r="H172" s="191">
        <f t="shared" si="10"/>
        <v>0</v>
      </c>
      <c r="I172" s="190">
        <f t="shared" si="11"/>
        <v>0</v>
      </c>
      <c r="J172" s="215">
        <f>BanDop!K107</f>
        <v>0</v>
      </c>
      <c r="K172" s="192">
        <f>BanDop!L107</f>
        <v>0</v>
      </c>
      <c r="L172" s="60"/>
      <c r="M172" s="62"/>
      <c r="N172" s="62"/>
      <c r="O172" s="62"/>
      <c r="P172" s="62"/>
      <c r="Q172" s="62"/>
      <c r="R172" s="62"/>
      <c r="S172" s="62"/>
      <c r="T172" s="62"/>
      <c r="U172" s="62"/>
      <c r="V172" s="62"/>
      <c r="W172" s="62"/>
      <c r="X172" s="61"/>
    </row>
    <row r="173" spans="4:24" ht="12.75">
      <c r="D173" s="189" t="s">
        <v>1091</v>
      </c>
      <c r="E173" s="190">
        <v>3</v>
      </c>
      <c r="F173" s="190">
        <f>BanDop!J108</f>
        <v>172</v>
      </c>
      <c r="G173" s="190"/>
      <c r="H173" s="191">
        <f t="shared" si="10"/>
        <v>0</v>
      </c>
      <c r="I173" s="190">
        <f t="shared" si="11"/>
        <v>0</v>
      </c>
      <c r="J173" s="215">
        <f>BanDop!K108</f>
        <v>0</v>
      </c>
      <c r="K173" s="192">
        <f>BanDop!L108</f>
        <v>0</v>
      </c>
      <c r="L173" s="60"/>
      <c r="M173" s="62"/>
      <c r="N173" s="62"/>
      <c r="O173" s="62"/>
      <c r="P173" s="62"/>
      <c r="Q173" s="62"/>
      <c r="R173" s="62"/>
      <c r="S173" s="62"/>
      <c r="T173" s="62"/>
      <c r="U173" s="62"/>
      <c r="V173" s="62"/>
      <c r="W173" s="62"/>
      <c r="X173" s="61"/>
    </row>
    <row r="174" spans="4:24" ht="12.75">
      <c r="D174" s="189" t="s">
        <v>1091</v>
      </c>
      <c r="E174" s="190">
        <v>3</v>
      </c>
      <c r="F174" s="190">
        <f>BanDop!J109</f>
        <v>173</v>
      </c>
      <c r="G174" s="190"/>
      <c r="H174" s="191">
        <f t="shared" si="10"/>
        <v>0</v>
      </c>
      <c r="I174" s="190">
        <f t="shared" si="11"/>
        <v>0</v>
      </c>
      <c r="J174" s="215">
        <f>BanDop!K109</f>
        <v>0</v>
      </c>
      <c r="K174" s="192">
        <f>BanDop!L109</f>
        <v>0</v>
      </c>
      <c r="L174" s="60"/>
      <c r="M174" s="62"/>
      <c r="N174" s="62"/>
      <c r="O174" s="62"/>
      <c r="P174" s="62"/>
      <c r="Q174" s="62"/>
      <c r="R174" s="62"/>
      <c r="S174" s="62"/>
      <c r="T174" s="62"/>
      <c r="U174" s="62"/>
      <c r="V174" s="62"/>
      <c r="W174" s="62"/>
      <c r="X174" s="61"/>
    </row>
    <row r="175" spans="4:24" ht="12.75">
      <c r="D175" s="189" t="s">
        <v>1091</v>
      </c>
      <c r="E175" s="190">
        <v>3</v>
      </c>
      <c r="F175" s="190">
        <f>BanDop!J110</f>
        <v>174</v>
      </c>
      <c r="G175" s="190"/>
      <c r="H175" s="191">
        <f t="shared" si="10"/>
        <v>0</v>
      </c>
      <c r="I175" s="190">
        <f t="shared" si="11"/>
        <v>0</v>
      </c>
      <c r="J175" s="215">
        <f>BanDop!K110</f>
        <v>0</v>
      </c>
      <c r="K175" s="192">
        <f>BanDop!L110</f>
        <v>0</v>
      </c>
      <c r="L175" s="60"/>
      <c r="M175" s="62"/>
      <c r="N175" s="62"/>
      <c r="O175" s="62"/>
      <c r="P175" s="62"/>
      <c r="Q175" s="62"/>
      <c r="R175" s="62"/>
      <c r="S175" s="62"/>
      <c r="T175" s="62"/>
      <c r="U175" s="62"/>
      <c r="V175" s="62"/>
      <c r="W175" s="62"/>
      <c r="X175" s="61"/>
    </row>
    <row r="176" spans="4:24" ht="12.75">
      <c r="D176" s="189" t="s">
        <v>1091</v>
      </c>
      <c r="E176" s="190">
        <v>3</v>
      </c>
      <c r="F176" s="190">
        <f>BanDop!J111</f>
        <v>175</v>
      </c>
      <c r="G176" s="190"/>
      <c r="H176" s="191">
        <f t="shared" si="10"/>
        <v>0</v>
      </c>
      <c r="I176" s="190">
        <f t="shared" si="11"/>
        <v>0</v>
      </c>
      <c r="J176" s="215">
        <f>BanDop!K111</f>
        <v>0</v>
      </c>
      <c r="K176" s="192">
        <f>BanDop!L111</f>
        <v>0</v>
      </c>
      <c r="L176" s="60"/>
      <c r="M176" s="62"/>
      <c r="N176" s="62"/>
      <c r="O176" s="62"/>
      <c r="P176" s="62"/>
      <c r="Q176" s="62"/>
      <c r="R176" s="62"/>
      <c r="S176" s="62"/>
      <c r="T176" s="62"/>
      <c r="U176" s="62"/>
      <c r="V176" s="62"/>
      <c r="W176" s="62"/>
      <c r="X176" s="61"/>
    </row>
    <row r="177" spans="4:24" ht="12.75">
      <c r="D177" s="189" t="s">
        <v>1091</v>
      </c>
      <c r="E177" s="190">
        <v>3</v>
      </c>
      <c r="F177" s="190">
        <f>BanDop!J112</f>
        <v>176</v>
      </c>
      <c r="G177" s="190"/>
      <c r="H177" s="191">
        <f t="shared" si="10"/>
        <v>0</v>
      </c>
      <c r="I177" s="190">
        <f t="shared" si="11"/>
        <v>0</v>
      </c>
      <c r="J177" s="215">
        <f>BanDop!K112</f>
        <v>0</v>
      </c>
      <c r="K177" s="192">
        <f>BanDop!L112</f>
        <v>0</v>
      </c>
      <c r="L177" s="60"/>
      <c r="M177" s="62"/>
      <c r="N177" s="62"/>
      <c r="O177" s="62"/>
      <c r="P177" s="62"/>
      <c r="Q177" s="62"/>
      <c r="R177" s="62"/>
      <c r="S177" s="62"/>
      <c r="T177" s="62"/>
      <c r="U177" s="62"/>
      <c r="V177" s="62"/>
      <c r="W177" s="62"/>
      <c r="X177" s="61"/>
    </row>
    <row r="178" spans="4:24" ht="12.75">
      <c r="D178" s="189" t="s">
        <v>1091</v>
      </c>
      <c r="E178" s="190">
        <v>3</v>
      </c>
      <c r="F178" s="190">
        <f>BanDop!J113</f>
        <v>177</v>
      </c>
      <c r="G178" s="190"/>
      <c r="H178" s="191">
        <f t="shared" si="10"/>
        <v>0</v>
      </c>
      <c r="I178" s="190">
        <f t="shared" si="11"/>
        <v>0</v>
      </c>
      <c r="J178" s="215">
        <f>BanDop!K113</f>
        <v>0</v>
      </c>
      <c r="K178" s="192">
        <f>BanDop!L113</f>
        <v>0</v>
      </c>
      <c r="L178" s="60"/>
      <c r="M178" s="62"/>
      <c r="N178" s="62"/>
      <c r="O178" s="62"/>
      <c r="P178" s="62"/>
      <c r="Q178" s="62"/>
      <c r="R178" s="62"/>
      <c r="S178" s="62"/>
      <c r="T178" s="62"/>
      <c r="U178" s="62"/>
      <c r="V178" s="62"/>
      <c r="W178" s="62"/>
      <c r="X178" s="61"/>
    </row>
    <row r="179" spans="4:24" ht="12.75">
      <c r="D179" s="189" t="s">
        <v>1091</v>
      </c>
      <c r="E179" s="190">
        <v>3</v>
      </c>
      <c r="F179" s="190">
        <f>BanDop!J114</f>
        <v>178</v>
      </c>
      <c r="G179" s="190"/>
      <c r="H179" s="191">
        <f t="shared" si="10"/>
        <v>0</v>
      </c>
      <c r="I179" s="190">
        <f t="shared" si="11"/>
        <v>0</v>
      </c>
      <c r="J179" s="215">
        <f>BanDop!K114</f>
        <v>0</v>
      </c>
      <c r="K179" s="192">
        <f>BanDop!L114</f>
        <v>0</v>
      </c>
      <c r="L179" s="60"/>
      <c r="M179" s="62"/>
      <c r="N179" s="62"/>
      <c r="O179" s="62"/>
      <c r="P179" s="62"/>
      <c r="Q179" s="62"/>
      <c r="R179" s="62"/>
      <c r="S179" s="62"/>
      <c r="T179" s="62"/>
      <c r="U179" s="62"/>
      <c r="V179" s="62"/>
      <c r="W179" s="62"/>
      <c r="X179" s="61"/>
    </row>
    <row r="180" spans="4:24" ht="12.75">
      <c r="D180" s="189" t="s">
        <v>1091</v>
      </c>
      <c r="E180" s="190">
        <v>3</v>
      </c>
      <c r="F180" s="190">
        <f>BanDop!J115</f>
        <v>179</v>
      </c>
      <c r="G180" s="190"/>
      <c r="H180" s="191">
        <f t="shared" si="10"/>
        <v>0</v>
      </c>
      <c r="I180" s="190">
        <f t="shared" si="11"/>
        <v>0</v>
      </c>
      <c r="J180" s="215">
        <f>BanDop!K115</f>
        <v>0</v>
      </c>
      <c r="K180" s="192">
        <f>BanDop!L115</f>
        <v>0</v>
      </c>
      <c r="L180" s="60"/>
      <c r="M180" s="62"/>
      <c r="N180" s="62"/>
      <c r="O180" s="62"/>
      <c r="P180" s="62"/>
      <c r="Q180" s="62"/>
      <c r="R180" s="62"/>
      <c r="S180" s="62"/>
      <c r="T180" s="62"/>
      <c r="U180" s="62"/>
      <c r="V180" s="62"/>
      <c r="W180" s="62"/>
      <c r="X180" s="61"/>
    </row>
    <row r="181" spans="4:24" ht="12.75">
      <c r="D181" s="189" t="s">
        <v>1091</v>
      </c>
      <c r="E181" s="190">
        <v>3</v>
      </c>
      <c r="F181" s="190">
        <f>BanDop!J116</f>
        <v>180</v>
      </c>
      <c r="G181" s="190"/>
      <c r="H181" s="191">
        <f t="shared" si="10"/>
        <v>0</v>
      </c>
      <c r="I181" s="190">
        <f t="shared" si="11"/>
        <v>0</v>
      </c>
      <c r="J181" s="215">
        <f>BanDop!K116</f>
        <v>0</v>
      </c>
      <c r="K181" s="192">
        <f>BanDop!L116</f>
        <v>0</v>
      </c>
      <c r="L181" s="60"/>
      <c r="M181" s="62"/>
      <c r="N181" s="62"/>
      <c r="O181" s="62"/>
      <c r="P181" s="62"/>
      <c r="Q181" s="62"/>
      <c r="R181" s="62"/>
      <c r="S181" s="62"/>
      <c r="T181" s="62"/>
      <c r="U181" s="62"/>
      <c r="V181" s="62"/>
      <c r="W181" s="62"/>
      <c r="X181" s="61"/>
    </row>
    <row r="182" spans="4:24" ht="12.75">
      <c r="D182" s="189" t="s">
        <v>1091</v>
      </c>
      <c r="E182" s="190">
        <v>3</v>
      </c>
      <c r="F182" s="190">
        <f>BanDop!J117</f>
        <v>181</v>
      </c>
      <c r="G182" s="190"/>
      <c r="H182" s="191">
        <f t="shared" si="10"/>
        <v>0</v>
      </c>
      <c r="I182" s="190">
        <f t="shared" si="11"/>
        <v>0</v>
      </c>
      <c r="J182" s="215">
        <f>BanDop!K117</f>
        <v>0</v>
      </c>
      <c r="K182" s="192">
        <f>BanDop!L117</f>
        <v>0</v>
      </c>
      <c r="L182" s="60"/>
      <c r="M182" s="62"/>
      <c r="N182" s="62"/>
      <c r="O182" s="62"/>
      <c r="P182" s="62"/>
      <c r="Q182" s="62"/>
      <c r="R182" s="62"/>
      <c r="S182" s="62"/>
      <c r="T182" s="62"/>
      <c r="U182" s="62"/>
      <c r="V182" s="62"/>
      <c r="W182" s="62"/>
      <c r="X182" s="61"/>
    </row>
    <row r="183" spans="4:24" ht="12.75">
      <c r="D183" s="189" t="s">
        <v>1091</v>
      </c>
      <c r="E183" s="190">
        <v>3</v>
      </c>
      <c r="F183" s="190">
        <f>BanDop!J118</f>
        <v>182</v>
      </c>
      <c r="G183" s="190"/>
      <c r="H183" s="191">
        <f t="shared" si="10"/>
        <v>0</v>
      </c>
      <c r="I183" s="190">
        <f t="shared" si="11"/>
        <v>0</v>
      </c>
      <c r="J183" s="215">
        <f>BanDop!K118</f>
        <v>0</v>
      </c>
      <c r="K183" s="192">
        <f>BanDop!L118</f>
        <v>0</v>
      </c>
      <c r="L183" s="60"/>
      <c r="M183" s="62"/>
      <c r="N183" s="62"/>
      <c r="O183" s="62"/>
      <c r="P183" s="62"/>
      <c r="Q183" s="62"/>
      <c r="R183" s="62"/>
      <c r="S183" s="62"/>
      <c r="T183" s="62"/>
      <c r="U183" s="62"/>
      <c r="V183" s="62"/>
      <c r="W183" s="62"/>
      <c r="X183" s="61"/>
    </row>
    <row r="184" spans="4:24" ht="12.75">
      <c r="D184" s="189" t="s">
        <v>1091</v>
      </c>
      <c r="E184" s="190">
        <v>3</v>
      </c>
      <c r="F184" s="190">
        <f>BanDop!J119</f>
        <v>183</v>
      </c>
      <c r="G184" s="190"/>
      <c r="H184" s="191">
        <f t="shared" si="10"/>
        <v>0</v>
      </c>
      <c r="I184" s="190">
        <f t="shared" si="11"/>
        <v>0</v>
      </c>
      <c r="J184" s="215">
        <f>BanDop!K119</f>
        <v>0</v>
      </c>
      <c r="K184" s="192">
        <f>BanDop!L119</f>
        <v>0</v>
      </c>
      <c r="L184" s="60"/>
      <c r="M184" s="62"/>
      <c r="N184" s="62"/>
      <c r="O184" s="62"/>
      <c r="P184" s="62"/>
      <c r="Q184" s="62"/>
      <c r="R184" s="62"/>
      <c r="S184" s="62"/>
      <c r="T184" s="62"/>
      <c r="U184" s="62"/>
      <c r="V184" s="62"/>
      <c r="W184" s="62"/>
      <c r="X184" s="61"/>
    </row>
    <row r="185" spans="4:24" ht="12.75">
      <c r="D185" s="189" t="s">
        <v>1091</v>
      </c>
      <c r="E185" s="190">
        <v>3</v>
      </c>
      <c r="F185" s="190">
        <f>BanDop!J120</f>
        <v>184</v>
      </c>
      <c r="G185" s="190"/>
      <c r="H185" s="191">
        <f t="shared" si="10"/>
        <v>0</v>
      </c>
      <c r="I185" s="190">
        <f t="shared" si="11"/>
        <v>0</v>
      </c>
      <c r="J185" s="215">
        <f>BanDop!K120</f>
        <v>0</v>
      </c>
      <c r="K185" s="192">
        <f>BanDop!L120</f>
        <v>0</v>
      </c>
      <c r="L185" s="60"/>
      <c r="M185" s="62"/>
      <c r="N185" s="62"/>
      <c r="O185" s="62"/>
      <c r="P185" s="62"/>
      <c r="Q185" s="62"/>
      <c r="R185" s="62"/>
      <c r="S185" s="62"/>
      <c r="T185" s="62"/>
      <c r="U185" s="62"/>
      <c r="V185" s="62"/>
      <c r="W185" s="62"/>
      <c r="X185" s="61"/>
    </row>
    <row r="186" spans="4:24" ht="12.75">
      <c r="D186" s="189" t="s">
        <v>1091</v>
      </c>
      <c r="E186" s="190">
        <v>3</v>
      </c>
      <c r="F186" s="190">
        <f>BanDop!J121</f>
        <v>185</v>
      </c>
      <c r="G186" s="190"/>
      <c r="H186" s="191">
        <f t="shared" si="10"/>
        <v>0</v>
      </c>
      <c r="I186" s="190">
        <f t="shared" si="11"/>
        <v>0</v>
      </c>
      <c r="J186" s="215">
        <f>BanDop!K121</f>
        <v>0</v>
      </c>
      <c r="K186" s="192">
        <f>BanDop!L121</f>
        <v>0</v>
      </c>
      <c r="L186" s="60"/>
      <c r="M186" s="62"/>
      <c r="N186" s="62"/>
      <c r="O186" s="62"/>
      <c r="P186" s="62"/>
      <c r="Q186" s="62"/>
      <c r="R186" s="62"/>
      <c r="S186" s="62"/>
      <c r="T186" s="62"/>
      <c r="U186" s="62"/>
      <c r="V186" s="62"/>
      <c r="W186" s="62"/>
      <c r="X186" s="61"/>
    </row>
    <row r="187" spans="4:24" ht="12.75">
      <c r="D187" s="189" t="s">
        <v>1091</v>
      </c>
      <c r="E187" s="190">
        <v>3</v>
      </c>
      <c r="F187" s="190">
        <f>BanDop!J122</f>
        <v>186</v>
      </c>
      <c r="G187" s="190"/>
      <c r="H187" s="191">
        <f t="shared" si="10"/>
        <v>0</v>
      </c>
      <c r="I187" s="190">
        <f t="shared" si="11"/>
        <v>0</v>
      </c>
      <c r="J187" s="215">
        <f>BanDop!K122</f>
        <v>0</v>
      </c>
      <c r="K187" s="192">
        <f>BanDop!L122</f>
        <v>0</v>
      </c>
      <c r="L187" s="60"/>
      <c r="M187" s="62"/>
      <c r="N187" s="62"/>
      <c r="O187" s="62"/>
      <c r="P187" s="62"/>
      <c r="Q187" s="62"/>
      <c r="R187" s="62"/>
      <c r="S187" s="62"/>
      <c r="T187" s="62"/>
      <c r="U187" s="62"/>
      <c r="V187" s="62"/>
      <c r="W187" s="62"/>
      <c r="X187" s="61"/>
    </row>
    <row r="188" spans="4:24" ht="12.75">
      <c r="D188" s="193" t="s">
        <v>1091</v>
      </c>
      <c r="E188" s="194">
        <v>3</v>
      </c>
      <c r="F188" s="194">
        <f>BanDop!J123</f>
        <v>187</v>
      </c>
      <c r="G188" s="194"/>
      <c r="H188" s="195">
        <f t="shared" si="10"/>
        <v>0</v>
      </c>
      <c r="I188" s="194">
        <f t="shared" si="11"/>
        <v>0</v>
      </c>
      <c r="J188" s="216">
        <f>BanDop!K123</f>
        <v>0</v>
      </c>
      <c r="K188" s="196">
        <f>BanDop!L123</f>
        <v>0</v>
      </c>
      <c r="L188" s="60"/>
      <c r="M188" s="62"/>
      <c r="N188" s="62"/>
      <c r="O188" s="62"/>
      <c r="P188" s="62"/>
      <c r="Q188" s="62"/>
      <c r="R188" s="62"/>
      <c r="S188" s="62"/>
      <c r="T188" s="62"/>
      <c r="U188" s="62"/>
      <c r="V188" s="62"/>
      <c r="W188" s="62"/>
      <c r="X188" s="61"/>
    </row>
    <row r="189" spans="4:24" ht="12.75">
      <c r="D189" s="199" t="s">
        <v>1092</v>
      </c>
      <c r="E189" s="200">
        <v>4</v>
      </c>
      <c r="F189" s="200">
        <f>NT_I!I10</f>
        <v>1</v>
      </c>
      <c r="G189" s="200">
        <f>IF(NT_I!J10&lt;&gt;"",NT_I!J10,"")</f>
      </c>
      <c r="H189" s="201">
        <f>J189/100*F189+2*K189/100*F189</f>
        <v>-2016371.5599999998</v>
      </c>
      <c r="I189" s="200">
        <f>ABS(ROUND(J189,0)-J189)+ABS(ROUND(K189,0)-K189)</f>
        <v>0</v>
      </c>
      <c r="J189" s="202">
        <f>NT_I!K10</f>
        <v>-181508840</v>
      </c>
      <c r="K189" s="203">
        <f>NT_I!L10</f>
        <v>-10064158</v>
      </c>
      <c r="L189" s="60"/>
      <c r="M189" s="62"/>
      <c r="N189" s="62"/>
      <c r="O189" s="62"/>
      <c r="P189" s="62"/>
      <c r="Q189" s="62"/>
      <c r="R189" s="62"/>
      <c r="S189" s="62"/>
      <c r="T189" s="62"/>
      <c r="U189" s="62"/>
      <c r="V189" s="62"/>
      <c r="W189" s="62"/>
      <c r="X189" s="61"/>
    </row>
    <row r="190" spans="4:24" ht="12.75">
      <c r="D190" s="204" t="s">
        <v>1092</v>
      </c>
      <c r="E190" s="205">
        <v>4</v>
      </c>
      <c r="F190" s="205">
        <f>NT_I!I11</f>
        <v>2</v>
      </c>
      <c r="G190" s="205">
        <f>IF(NT_I!J11&lt;&gt;"",NT_I!J11,"")</f>
      </c>
      <c r="H190" s="206">
        <f>J190/100*F190+2*K190/100*F190</f>
        <v>-3513024.88</v>
      </c>
      <c r="I190" s="205">
        <f>ABS(ROUND(J190,0)-J190)+ABS(ROUND(K190,0)-K190)</f>
        <v>0</v>
      </c>
      <c r="J190" s="207">
        <f>NT_I!K11</f>
        <v>-126362324</v>
      </c>
      <c r="K190" s="208">
        <f>NT_I!L11</f>
        <v>-24644460</v>
      </c>
      <c r="L190" s="60"/>
      <c r="M190" s="62"/>
      <c r="N190" s="62"/>
      <c r="O190" s="62"/>
      <c r="P190" s="62"/>
      <c r="Q190" s="62"/>
      <c r="R190" s="62"/>
      <c r="S190" s="62"/>
      <c r="T190" s="62"/>
      <c r="U190" s="62"/>
      <c r="V190" s="62"/>
      <c r="W190" s="62"/>
      <c r="X190" s="61"/>
    </row>
    <row r="191" spans="4:24" ht="12.75">
      <c r="D191" s="204" t="s">
        <v>1092</v>
      </c>
      <c r="E191" s="205">
        <v>4</v>
      </c>
      <c r="F191" s="205">
        <f>NT_I!I12</f>
        <v>3</v>
      </c>
      <c r="G191" s="205">
        <f>IF(NT_I!J12&lt;&gt;"",NT_I!J12,"")</f>
      </c>
      <c r="H191" s="206">
        <f aca="true" t="shared" si="12" ref="H191:H212">J191/100*F191+2*K191/100*F191</f>
        <v>975352.86</v>
      </c>
      <c r="I191" s="205">
        <f aca="true" t="shared" si="13" ref="I191:I212">ABS(ROUND(J191,0)-J191)+ABS(ROUND(K191,0)-K191)</f>
        <v>0</v>
      </c>
      <c r="J191" s="207">
        <f>NT_I!K12</f>
        <v>0</v>
      </c>
      <c r="K191" s="208">
        <f>NT_I!L12</f>
        <v>16255881</v>
      </c>
      <c r="L191" s="60"/>
      <c r="M191" s="62"/>
      <c r="N191" s="62"/>
      <c r="O191" s="62"/>
      <c r="P191" s="62"/>
      <c r="Q191" s="62"/>
      <c r="R191" s="62"/>
      <c r="S191" s="62"/>
      <c r="T191" s="62"/>
      <c r="U191" s="62"/>
      <c r="V191" s="62"/>
      <c r="W191" s="62"/>
      <c r="X191" s="61"/>
    </row>
    <row r="192" spans="4:24" ht="12.75">
      <c r="D192" s="204" t="s">
        <v>1092</v>
      </c>
      <c r="E192" s="205">
        <v>4</v>
      </c>
      <c r="F192" s="205">
        <f>NT_I!I13</f>
        <v>4</v>
      </c>
      <c r="G192" s="205">
        <f>IF(NT_I!J13&lt;&gt;"",NT_I!J13,"")</f>
      </c>
      <c r="H192" s="206">
        <f t="shared" si="12"/>
        <v>581244.36</v>
      </c>
      <c r="I192" s="205">
        <f t="shared" si="13"/>
        <v>0</v>
      </c>
      <c r="J192" s="207">
        <f>NT_I!K13</f>
        <v>5562317</v>
      </c>
      <c r="K192" s="208">
        <f>NT_I!L13</f>
        <v>4484396</v>
      </c>
      <c r="L192" s="60"/>
      <c r="M192" s="62"/>
      <c r="N192" s="62"/>
      <c r="O192" s="62"/>
      <c r="P192" s="62"/>
      <c r="Q192" s="62"/>
      <c r="R192" s="62"/>
      <c r="S192" s="62"/>
      <c r="T192" s="62"/>
      <c r="U192" s="62"/>
      <c r="V192" s="62"/>
      <c r="W192" s="62"/>
      <c r="X192" s="61"/>
    </row>
    <row r="193" spans="4:24" ht="12.75">
      <c r="D193" s="204" t="s">
        <v>1092</v>
      </c>
      <c r="E193" s="205">
        <v>4</v>
      </c>
      <c r="F193" s="205">
        <f>NT_I!I14</f>
        <v>5</v>
      </c>
      <c r="G193" s="205">
        <f>IF(NT_I!J14&lt;&gt;"",NT_I!J14,"")</f>
      </c>
      <c r="H193" s="206">
        <f t="shared" si="12"/>
        <v>285160.95</v>
      </c>
      <c r="I193" s="205">
        <f t="shared" si="13"/>
        <v>0</v>
      </c>
      <c r="J193" s="207">
        <f>NT_I!K14</f>
        <v>6835445</v>
      </c>
      <c r="K193" s="208">
        <f>NT_I!L14</f>
        <v>-566113</v>
      </c>
      <c r="L193" s="60"/>
      <c r="M193" s="62"/>
      <c r="N193" s="62"/>
      <c r="O193" s="62"/>
      <c r="P193" s="62"/>
      <c r="Q193" s="62"/>
      <c r="R193" s="62"/>
      <c r="S193" s="62"/>
      <c r="T193" s="62"/>
      <c r="U193" s="62"/>
      <c r="V193" s="62"/>
      <c r="W193" s="62"/>
      <c r="X193" s="61"/>
    </row>
    <row r="194" spans="4:24" ht="12.75">
      <c r="D194" s="204" t="s">
        <v>1092</v>
      </c>
      <c r="E194" s="205">
        <v>4</v>
      </c>
      <c r="F194" s="205">
        <f>NT_I!I15</f>
        <v>6</v>
      </c>
      <c r="G194" s="205">
        <f>IF(NT_I!J15&lt;&gt;"",NT_I!J15,"")</f>
      </c>
      <c r="H194" s="206">
        <f t="shared" si="12"/>
        <v>-671263.4400000001</v>
      </c>
      <c r="I194" s="205">
        <f t="shared" si="13"/>
        <v>0</v>
      </c>
      <c r="J194" s="207">
        <f>NT_I!K15</f>
        <v>0</v>
      </c>
      <c r="K194" s="208">
        <f>NT_I!L15</f>
        <v>-5593862</v>
      </c>
      <c r="L194" s="60"/>
      <c r="M194" s="62"/>
      <c r="N194" s="62"/>
      <c r="O194" s="62"/>
      <c r="P194" s="62"/>
      <c r="Q194" s="62"/>
      <c r="R194" s="62"/>
      <c r="S194" s="62"/>
      <c r="T194" s="62"/>
      <c r="U194" s="62"/>
      <c r="V194" s="62"/>
      <c r="W194" s="62"/>
      <c r="X194" s="61"/>
    </row>
    <row r="195" spans="4:24" ht="12.75">
      <c r="D195" s="204" t="s">
        <v>1092</v>
      </c>
      <c r="E195" s="205">
        <v>4</v>
      </c>
      <c r="F195" s="205">
        <f>NT_I!I16</f>
        <v>7</v>
      </c>
      <c r="G195" s="205">
        <f>IF(NT_I!J16&lt;&gt;"",NT_I!J16,"")</f>
      </c>
      <c r="H195" s="206">
        <f t="shared" si="12"/>
        <v>-4728099.46</v>
      </c>
      <c r="I195" s="205">
        <f t="shared" si="13"/>
        <v>0</v>
      </c>
      <c r="J195" s="207">
        <f>NT_I!K16</f>
        <v>-67544278</v>
      </c>
      <c r="K195" s="208">
        <f>NT_I!L16</f>
        <v>0</v>
      </c>
      <c r="L195" s="60"/>
      <c r="M195" s="62"/>
      <c r="N195" s="62"/>
      <c r="O195" s="62"/>
      <c r="P195" s="62"/>
      <c r="Q195" s="62"/>
      <c r="R195" s="62"/>
      <c r="S195" s="62"/>
      <c r="T195" s="62"/>
      <c r="U195" s="62"/>
      <c r="V195" s="62"/>
      <c r="W195" s="62"/>
      <c r="X195" s="61"/>
    </row>
    <row r="196" spans="4:24" ht="12.75">
      <c r="D196" s="204" t="s">
        <v>1092</v>
      </c>
      <c r="E196" s="205">
        <v>4</v>
      </c>
      <c r="F196" s="205">
        <f>NT_I!I17</f>
        <v>8</v>
      </c>
      <c r="G196" s="205">
        <f>IF(NT_I!J17&lt;&gt;"",NT_I!J17,"")</f>
      </c>
      <c r="H196" s="206">
        <f t="shared" si="12"/>
        <v>-86720977.04</v>
      </c>
      <c r="I196" s="205">
        <f t="shared" si="13"/>
        <v>0</v>
      </c>
      <c r="J196" s="207">
        <f>NT_I!K17</f>
        <v>119117467</v>
      </c>
      <c r="K196" s="208">
        <f>NT_I!L17</f>
        <v>-601564840</v>
      </c>
      <c r="L196" s="60"/>
      <c r="M196" s="62"/>
      <c r="N196" s="62"/>
      <c r="O196" s="62"/>
      <c r="P196" s="62"/>
      <c r="Q196" s="62"/>
      <c r="R196" s="62"/>
      <c r="S196" s="62"/>
      <c r="T196" s="62"/>
      <c r="U196" s="62"/>
      <c r="V196" s="62"/>
      <c r="W196" s="62"/>
      <c r="X196" s="61"/>
    </row>
    <row r="197" spans="4:24" ht="12.75">
      <c r="D197" s="204" t="s">
        <v>1092</v>
      </c>
      <c r="E197" s="205">
        <v>4</v>
      </c>
      <c r="F197" s="205">
        <f>NT_I!I18</f>
        <v>9</v>
      </c>
      <c r="G197" s="205">
        <f>IF(NT_I!J18&lt;&gt;"",NT_I!J18,"")</f>
      </c>
      <c r="H197" s="206">
        <f t="shared" si="12"/>
        <v>-15224373.18</v>
      </c>
      <c r="I197" s="205">
        <f t="shared" si="13"/>
        <v>0</v>
      </c>
      <c r="J197" s="207">
        <f>NT_I!K18</f>
        <v>-42166552</v>
      </c>
      <c r="K197" s="208">
        <f>NT_I!L18</f>
        <v>-63496575</v>
      </c>
      <c r="L197" s="60"/>
      <c r="M197" s="62"/>
      <c r="N197" s="62"/>
      <c r="O197" s="62"/>
      <c r="P197" s="62"/>
      <c r="Q197" s="62"/>
      <c r="R197" s="62"/>
      <c r="S197" s="62"/>
      <c r="T197" s="62"/>
      <c r="U197" s="62"/>
      <c r="V197" s="62"/>
      <c r="W197" s="62"/>
      <c r="X197" s="61"/>
    </row>
    <row r="198" spans="4:24" ht="12.75">
      <c r="D198" s="204" t="s">
        <v>1092</v>
      </c>
      <c r="E198" s="205">
        <v>4</v>
      </c>
      <c r="F198" s="205">
        <f>NT_I!I19</f>
        <v>10</v>
      </c>
      <c r="G198" s="205">
        <f>IF(NT_I!J19&lt;&gt;"",NT_I!J19,"")</f>
      </c>
      <c r="H198" s="206">
        <f t="shared" si="12"/>
        <v>12567083.499999998</v>
      </c>
      <c r="I198" s="205">
        <f t="shared" si="13"/>
        <v>0</v>
      </c>
      <c r="J198" s="207">
        <f>NT_I!K19</f>
        <v>13091841</v>
      </c>
      <c r="K198" s="208">
        <f>NT_I!L19</f>
        <v>56289497</v>
      </c>
      <c r="L198" s="60"/>
      <c r="M198" s="62"/>
      <c r="N198" s="62"/>
      <c r="O198" s="62"/>
      <c r="P198" s="62"/>
      <c r="Q198" s="62"/>
      <c r="R198" s="62"/>
      <c r="S198" s="62"/>
      <c r="T198" s="62"/>
      <c r="U198" s="62"/>
      <c r="V198" s="62"/>
      <c r="W198" s="62"/>
      <c r="X198" s="61"/>
    </row>
    <row r="199" spans="4:24" ht="12.75">
      <c r="D199" s="204" t="s">
        <v>1092</v>
      </c>
      <c r="E199" s="205">
        <v>4</v>
      </c>
      <c r="F199" s="205">
        <f>NT_I!I20</f>
        <v>11</v>
      </c>
      <c r="G199" s="205">
        <f>IF(NT_I!J20&lt;&gt;"",NT_I!J20,"")</f>
      </c>
      <c r="H199" s="206">
        <f t="shared" si="12"/>
        <v>-15687605.01</v>
      </c>
      <c r="I199" s="205">
        <f t="shared" si="13"/>
        <v>0</v>
      </c>
      <c r="J199" s="207">
        <f>NT_I!K20</f>
        <v>-59037293</v>
      </c>
      <c r="K199" s="208">
        <f>NT_I!L20</f>
        <v>-41788649</v>
      </c>
      <c r="L199" s="60"/>
      <c r="M199" s="62"/>
      <c r="N199" s="62"/>
      <c r="O199" s="62"/>
      <c r="P199" s="62"/>
      <c r="Q199" s="62"/>
      <c r="R199" s="62"/>
      <c r="S199" s="62"/>
      <c r="T199" s="62"/>
      <c r="U199" s="62"/>
      <c r="V199" s="62"/>
      <c r="W199" s="62"/>
      <c r="X199" s="61"/>
    </row>
    <row r="200" spans="4:24" ht="12.75">
      <c r="D200" s="204" t="s">
        <v>1092</v>
      </c>
      <c r="E200" s="205">
        <v>4</v>
      </c>
      <c r="F200" s="205">
        <f>NT_I!I21</f>
        <v>12</v>
      </c>
      <c r="G200" s="205">
        <f>IF(NT_I!J21&lt;&gt;"",NT_I!J21,"")</f>
      </c>
      <c r="H200" s="206">
        <f t="shared" si="12"/>
        <v>-136435656.48</v>
      </c>
      <c r="I200" s="205">
        <f t="shared" si="13"/>
        <v>0</v>
      </c>
      <c r="J200" s="207">
        <f>NT_I!K21</f>
        <v>57983000</v>
      </c>
      <c r="K200" s="208">
        <f>NT_I!L21</f>
        <v>-597473402</v>
      </c>
      <c r="L200" s="60"/>
      <c r="M200" s="62"/>
      <c r="N200" s="62"/>
      <c r="O200" s="62"/>
      <c r="P200" s="62"/>
      <c r="Q200" s="62"/>
      <c r="R200" s="62"/>
      <c r="S200" s="62"/>
      <c r="T200" s="62"/>
      <c r="U200" s="62"/>
      <c r="V200" s="62"/>
      <c r="W200" s="62"/>
      <c r="X200" s="61"/>
    </row>
    <row r="201" spans="4:24" ht="12.75">
      <c r="D201" s="204" t="s">
        <v>1092</v>
      </c>
      <c r="E201" s="205">
        <v>4</v>
      </c>
      <c r="F201" s="205">
        <f>NT_I!I22</f>
        <v>13</v>
      </c>
      <c r="G201" s="205">
        <f>IF(NT_I!J22&lt;&gt;"",NT_I!J22,"")</f>
      </c>
      <c r="H201" s="206">
        <f t="shared" si="12"/>
        <v>-1321152.04</v>
      </c>
      <c r="I201" s="205">
        <f t="shared" si="13"/>
        <v>0</v>
      </c>
      <c r="J201" s="207">
        <f>NT_I!K22</f>
        <v>0</v>
      </c>
      <c r="K201" s="208">
        <f>NT_I!L22</f>
        <v>-5081354</v>
      </c>
      <c r="L201" s="60"/>
      <c r="M201" s="62"/>
      <c r="N201" s="62"/>
      <c r="O201" s="62"/>
      <c r="P201" s="62"/>
      <c r="Q201" s="62"/>
      <c r="R201" s="62"/>
      <c r="S201" s="62"/>
      <c r="T201" s="62"/>
      <c r="U201" s="62"/>
      <c r="V201" s="62"/>
      <c r="W201" s="62"/>
      <c r="X201" s="61"/>
    </row>
    <row r="202" spans="4:24" ht="12.75">
      <c r="D202" s="204" t="s">
        <v>1092</v>
      </c>
      <c r="E202" s="205">
        <v>4</v>
      </c>
      <c r="F202" s="205">
        <f>NT_I!I23</f>
        <v>14</v>
      </c>
      <c r="G202" s="205">
        <f>IF(NT_I!J23&lt;&gt;"",NT_I!J23,"")</f>
      </c>
      <c r="H202" s="206">
        <f t="shared" si="12"/>
        <v>33822715.5</v>
      </c>
      <c r="I202" s="205">
        <f t="shared" si="13"/>
        <v>0</v>
      </c>
      <c r="J202" s="207">
        <f>NT_I!K23</f>
        <v>147259767</v>
      </c>
      <c r="K202" s="208">
        <f>NT_I!L23</f>
        <v>47165529</v>
      </c>
      <c r="L202" s="60"/>
      <c r="M202" s="62"/>
      <c r="N202" s="62"/>
      <c r="O202" s="62"/>
      <c r="P202" s="62"/>
      <c r="Q202" s="62"/>
      <c r="R202" s="62"/>
      <c r="S202" s="62"/>
      <c r="T202" s="62"/>
      <c r="U202" s="62"/>
      <c r="V202" s="62"/>
      <c r="W202" s="62"/>
      <c r="X202" s="61"/>
    </row>
    <row r="203" spans="4:24" ht="12.75">
      <c r="D203" s="204" t="s">
        <v>1092</v>
      </c>
      <c r="E203" s="205">
        <v>4</v>
      </c>
      <c r="F203" s="205">
        <f>NT_I!I24</f>
        <v>15</v>
      </c>
      <c r="G203" s="205">
        <f>IF(NT_I!J24&lt;&gt;"",NT_I!J24,"")</f>
      </c>
      <c r="H203" s="206">
        <f t="shared" si="12"/>
        <v>0</v>
      </c>
      <c r="I203" s="205">
        <f t="shared" si="13"/>
        <v>0</v>
      </c>
      <c r="J203" s="207">
        <f>NT_I!K24</f>
        <v>0</v>
      </c>
      <c r="K203" s="208">
        <f>NT_I!L24</f>
        <v>0</v>
      </c>
      <c r="L203" s="60"/>
      <c r="M203" s="62"/>
      <c r="N203" s="62"/>
      <c r="O203" s="62"/>
      <c r="P203" s="62"/>
      <c r="Q203" s="62"/>
      <c r="R203" s="62"/>
      <c r="S203" s="62"/>
      <c r="T203" s="62"/>
      <c r="U203" s="62"/>
      <c r="V203" s="62"/>
      <c r="W203" s="62"/>
      <c r="X203" s="61"/>
    </row>
    <row r="204" spans="4:24" ht="12.75">
      <c r="D204" s="204" t="s">
        <v>1092</v>
      </c>
      <c r="E204" s="205">
        <v>4</v>
      </c>
      <c r="F204" s="205">
        <f>NT_I!I25</f>
        <v>16</v>
      </c>
      <c r="G204" s="205">
        <f>IF(NT_I!J25&lt;&gt;"",NT_I!J25,"")</f>
      </c>
      <c r="H204" s="206">
        <f t="shared" si="12"/>
        <v>1220309.12</v>
      </c>
      <c r="I204" s="205">
        <f t="shared" si="13"/>
        <v>0</v>
      </c>
      <c r="J204" s="207">
        <f>NT_I!K25</f>
        <v>1986704</v>
      </c>
      <c r="K204" s="208">
        <f>NT_I!L25</f>
        <v>2820114</v>
      </c>
      <c r="L204" s="60"/>
      <c r="M204" s="62"/>
      <c r="N204" s="62"/>
      <c r="O204" s="62"/>
      <c r="P204" s="62"/>
      <c r="Q204" s="62"/>
      <c r="R204" s="62"/>
      <c r="S204" s="62"/>
      <c r="T204" s="62"/>
      <c r="U204" s="62"/>
      <c r="V204" s="62"/>
      <c r="W204" s="62"/>
      <c r="X204" s="61"/>
    </row>
    <row r="205" spans="4:24" ht="12.75">
      <c r="D205" s="204" t="s">
        <v>1092</v>
      </c>
      <c r="E205" s="205">
        <v>4</v>
      </c>
      <c r="F205" s="205">
        <f>NT_I!I26</f>
        <v>17</v>
      </c>
      <c r="G205" s="205">
        <f>IF(NT_I!J26&lt;&gt;"",NT_I!J26,"")</f>
      </c>
      <c r="H205" s="206">
        <f t="shared" si="12"/>
        <v>218885603.07</v>
      </c>
      <c r="I205" s="205">
        <f t="shared" si="13"/>
        <v>0</v>
      </c>
      <c r="J205" s="207">
        <f>NT_I!K26</f>
        <v>-8300523</v>
      </c>
      <c r="K205" s="208">
        <f>NT_I!L26</f>
        <v>647931447</v>
      </c>
      <c r="L205" s="60"/>
      <c r="M205" s="62"/>
      <c r="N205" s="62"/>
      <c r="O205" s="62"/>
      <c r="P205" s="62"/>
      <c r="Q205" s="62"/>
      <c r="R205" s="62"/>
      <c r="S205" s="62"/>
      <c r="T205" s="62"/>
      <c r="U205" s="62"/>
      <c r="V205" s="62"/>
      <c r="W205" s="62"/>
      <c r="X205" s="61"/>
    </row>
    <row r="206" spans="4:24" ht="12.75">
      <c r="D206" s="204" t="s">
        <v>1092</v>
      </c>
      <c r="E206" s="205">
        <v>4</v>
      </c>
      <c r="F206" s="205">
        <f>NT_I!I27</f>
        <v>18</v>
      </c>
      <c r="G206" s="205">
        <f>IF(NT_I!J27&lt;&gt;"",NT_I!J27,"")</f>
      </c>
      <c r="H206" s="206">
        <f t="shared" si="12"/>
        <v>16967085.84</v>
      </c>
      <c r="I206" s="205">
        <f t="shared" si="13"/>
        <v>0</v>
      </c>
      <c r="J206" s="207">
        <f>NT_I!K27</f>
        <v>39865924</v>
      </c>
      <c r="K206" s="208">
        <f>NT_I!L27</f>
        <v>27197832</v>
      </c>
      <c r="L206" s="60"/>
      <c r="M206" s="62"/>
      <c r="N206" s="62"/>
      <c r="O206" s="62"/>
      <c r="P206" s="62"/>
      <c r="Q206" s="62"/>
      <c r="R206" s="62"/>
      <c r="S206" s="62"/>
      <c r="T206" s="62"/>
      <c r="U206" s="62"/>
      <c r="V206" s="62"/>
      <c r="W206" s="62"/>
      <c r="X206" s="61"/>
    </row>
    <row r="207" spans="4:24" ht="12.75">
      <c r="D207" s="204" t="s">
        <v>1092</v>
      </c>
      <c r="E207" s="205">
        <v>4</v>
      </c>
      <c r="F207" s="205">
        <f>NT_I!I28</f>
        <v>19</v>
      </c>
      <c r="G207" s="205">
        <f>IF(NT_I!J28&lt;&gt;"",NT_I!J28,"")</f>
      </c>
      <c r="H207" s="206">
        <f t="shared" si="12"/>
        <v>241735877.29000002</v>
      </c>
      <c r="I207" s="205">
        <f t="shared" si="13"/>
        <v>0</v>
      </c>
      <c r="J207" s="207">
        <f>NT_I!K28</f>
        <v>104215559</v>
      </c>
      <c r="K207" s="208">
        <f>NT_I!L28</f>
        <v>584039266</v>
      </c>
      <c r="L207" s="60"/>
      <c r="M207" s="62"/>
      <c r="N207" s="62"/>
      <c r="O207" s="62"/>
      <c r="P207" s="62"/>
      <c r="Q207" s="62"/>
      <c r="R207" s="62"/>
      <c r="S207" s="62"/>
      <c r="T207" s="62"/>
      <c r="U207" s="62"/>
      <c r="V207" s="62"/>
      <c r="W207" s="62"/>
      <c r="X207" s="61"/>
    </row>
    <row r="208" spans="4:24" ht="12.75">
      <c r="D208" s="204" t="s">
        <v>1092</v>
      </c>
      <c r="E208" s="205">
        <v>4</v>
      </c>
      <c r="F208" s="205">
        <f>NT_I!I29</f>
        <v>20</v>
      </c>
      <c r="G208" s="205">
        <f>IF(NT_I!J29&lt;&gt;"",NT_I!J29,"")</f>
      </c>
      <c r="H208" s="206">
        <f t="shared" si="12"/>
        <v>10705.599999999999</v>
      </c>
      <c r="I208" s="205">
        <f t="shared" si="13"/>
        <v>0</v>
      </c>
      <c r="J208" s="207">
        <f>NT_I!K29</f>
        <v>53528</v>
      </c>
      <c r="K208" s="208">
        <f>NT_I!L29</f>
        <v>0</v>
      </c>
      <c r="L208" s="60"/>
      <c r="M208" s="62"/>
      <c r="N208" s="62"/>
      <c r="O208" s="62"/>
      <c r="P208" s="62"/>
      <c r="Q208" s="62"/>
      <c r="R208" s="62"/>
      <c r="S208" s="62"/>
      <c r="T208" s="62"/>
      <c r="U208" s="62"/>
      <c r="V208" s="62"/>
      <c r="W208" s="62"/>
      <c r="X208" s="61"/>
    </row>
    <row r="209" spans="4:24" ht="12.75">
      <c r="D209" s="204" t="s">
        <v>1092</v>
      </c>
      <c r="E209" s="205">
        <v>4</v>
      </c>
      <c r="F209" s="205">
        <f>NT_I!I30</f>
        <v>21</v>
      </c>
      <c r="G209" s="205">
        <f>IF(NT_I!J30&lt;&gt;"",NT_I!J30,"")</f>
      </c>
      <c r="H209" s="206">
        <f t="shared" si="12"/>
        <v>-16599835.56</v>
      </c>
      <c r="I209" s="205">
        <f t="shared" si="13"/>
        <v>0</v>
      </c>
      <c r="J209" s="207">
        <f>NT_I!K30</f>
        <v>-152435534</v>
      </c>
      <c r="K209" s="208">
        <f>NT_I!L30</f>
        <v>36694349</v>
      </c>
      <c r="L209" s="60"/>
      <c r="M209" s="62"/>
      <c r="N209" s="62"/>
      <c r="O209" s="62"/>
      <c r="P209" s="62"/>
      <c r="Q209" s="62"/>
      <c r="R209" s="62"/>
      <c r="S209" s="62"/>
      <c r="T209" s="62"/>
      <c r="U209" s="62"/>
      <c r="V209" s="62"/>
      <c r="W209" s="62"/>
      <c r="X209" s="61"/>
    </row>
    <row r="210" spans="4:24" ht="12.75">
      <c r="D210" s="204" t="s">
        <v>1092</v>
      </c>
      <c r="E210" s="205">
        <v>4</v>
      </c>
      <c r="F210" s="205">
        <f>NT_I!I31</f>
        <v>22</v>
      </c>
      <c r="G210" s="205">
        <f>IF(NT_I!J31&lt;&gt;"",NT_I!J31,"")</f>
      </c>
      <c r="H210" s="206">
        <f t="shared" si="12"/>
        <v>420860.4399999995</v>
      </c>
      <c r="I210" s="205">
        <f t="shared" si="13"/>
        <v>0</v>
      </c>
      <c r="J210" s="207">
        <f>NT_I!K31</f>
        <v>-70691896</v>
      </c>
      <c r="K210" s="208">
        <f>NT_I!L31</f>
        <v>36302449</v>
      </c>
      <c r="L210" s="60"/>
      <c r="M210" s="62"/>
      <c r="N210" s="62"/>
      <c r="O210" s="62"/>
      <c r="P210" s="62"/>
      <c r="Q210" s="62"/>
      <c r="R210" s="62"/>
      <c r="S210" s="62"/>
      <c r="T210" s="62"/>
      <c r="U210" s="62"/>
      <c r="V210" s="62"/>
      <c r="W210" s="62"/>
      <c r="X210" s="61"/>
    </row>
    <row r="211" spans="4:24" ht="12.75">
      <c r="D211" s="204" t="s">
        <v>1092</v>
      </c>
      <c r="E211" s="205">
        <v>4</v>
      </c>
      <c r="F211" s="205">
        <f>NT_I!I32</f>
        <v>23</v>
      </c>
      <c r="G211" s="205">
        <f>IF(NT_I!J32&lt;&gt;"",NT_I!J32,"")</f>
      </c>
      <c r="H211" s="206">
        <f t="shared" si="12"/>
        <v>0</v>
      </c>
      <c r="I211" s="205">
        <f t="shared" si="13"/>
        <v>0</v>
      </c>
      <c r="J211" s="207">
        <f>NT_I!K32</f>
        <v>0</v>
      </c>
      <c r="K211" s="208">
        <f>NT_I!L32</f>
        <v>0</v>
      </c>
      <c r="L211" s="60"/>
      <c r="M211" s="62"/>
      <c r="N211" s="62"/>
      <c r="O211" s="62"/>
      <c r="P211" s="62"/>
      <c r="Q211" s="62"/>
      <c r="R211" s="62"/>
      <c r="S211" s="62"/>
      <c r="T211" s="62"/>
      <c r="U211" s="62"/>
      <c r="V211" s="62"/>
      <c r="W211" s="62"/>
      <c r="X211" s="61"/>
    </row>
    <row r="212" spans="4:24" ht="12.75">
      <c r="D212" s="204" t="s">
        <v>1092</v>
      </c>
      <c r="E212" s="205">
        <v>4</v>
      </c>
      <c r="F212" s="205">
        <f>NT_I!I33</f>
        <v>24</v>
      </c>
      <c r="G212" s="205">
        <f>IF(NT_I!J33&lt;&gt;"",NT_I!J33,"")</f>
      </c>
      <c r="H212" s="206">
        <f t="shared" si="12"/>
        <v>459120.48000000045</v>
      </c>
      <c r="I212" s="205">
        <f t="shared" si="13"/>
        <v>0</v>
      </c>
      <c r="J212" s="207">
        <f>NT_I!K33</f>
        <v>-70691896</v>
      </c>
      <c r="K212" s="208">
        <f>NT_I!L33</f>
        <v>36302449</v>
      </c>
      <c r="L212" s="60"/>
      <c r="M212" s="62"/>
      <c r="N212" s="62"/>
      <c r="O212" s="62"/>
      <c r="P212" s="62"/>
      <c r="Q212" s="62"/>
      <c r="R212" s="62"/>
      <c r="S212" s="62"/>
      <c r="T212" s="62"/>
      <c r="U212" s="62"/>
      <c r="V212" s="62"/>
      <c r="W212" s="62"/>
      <c r="X212" s="61"/>
    </row>
    <row r="213" spans="4:24" ht="12.75">
      <c r="D213" s="204" t="s">
        <v>1092</v>
      </c>
      <c r="E213" s="205">
        <v>4</v>
      </c>
      <c r="F213" s="205">
        <f>NT_I!I35</f>
        <v>25</v>
      </c>
      <c r="G213" s="205">
        <f>IF(NT_I!J35&lt;&gt;"",NT_I!J35,"")</f>
      </c>
      <c r="H213" s="206">
        <f aca="true" t="shared" si="14" ref="H213:H221">J213/100*F213+2*K213/100*F213</f>
        <v>-38628533.5</v>
      </c>
      <c r="I213" s="205">
        <f aca="true" t="shared" si="15" ref="I213:I221">ABS(ROUND(J213,0)-J213)+ABS(ROUND(K213,0)-K213)</f>
        <v>0</v>
      </c>
      <c r="J213" s="207">
        <f>NT_I!K35</f>
        <v>-163023606</v>
      </c>
      <c r="K213" s="208">
        <f>NT_I!L35</f>
        <v>4254736</v>
      </c>
      <c r="L213" s="60"/>
      <c r="M213" s="62"/>
      <c r="N213" s="62"/>
      <c r="O213" s="62"/>
      <c r="P213" s="62"/>
      <c r="Q213" s="62"/>
      <c r="R213" s="62"/>
      <c r="S213" s="62"/>
      <c r="T213" s="62"/>
      <c r="U213" s="62"/>
      <c r="V213" s="62"/>
      <c r="W213" s="62"/>
      <c r="X213" s="61"/>
    </row>
    <row r="214" spans="4:24" ht="12.75">
      <c r="D214" s="204" t="s">
        <v>1092</v>
      </c>
      <c r="E214" s="205">
        <v>4</v>
      </c>
      <c r="F214" s="205">
        <f>NT_I!I36</f>
        <v>26</v>
      </c>
      <c r="G214" s="205">
        <f>IF(NT_I!J36&lt;&gt;"",NT_I!J36,"")</f>
      </c>
      <c r="H214" s="206">
        <f t="shared" si="14"/>
        <v>3925617.8</v>
      </c>
      <c r="I214" s="205">
        <f t="shared" si="15"/>
        <v>0</v>
      </c>
      <c r="J214" s="207">
        <f>NT_I!K36</f>
        <v>0</v>
      </c>
      <c r="K214" s="208">
        <f>NT_I!L36</f>
        <v>7549265</v>
      </c>
      <c r="L214" s="60"/>
      <c r="M214" s="62"/>
      <c r="N214" s="62"/>
      <c r="O214" s="62"/>
      <c r="P214" s="62"/>
      <c r="Q214" s="62"/>
      <c r="R214" s="62"/>
      <c r="S214" s="62"/>
      <c r="T214" s="62"/>
      <c r="U214" s="62"/>
      <c r="V214" s="62"/>
      <c r="W214" s="62"/>
      <c r="X214" s="61"/>
    </row>
    <row r="215" spans="4:24" ht="12.75">
      <c r="D215" s="204" t="s">
        <v>1092</v>
      </c>
      <c r="E215" s="205">
        <v>4</v>
      </c>
      <c r="F215" s="205">
        <f>NT_I!I37</f>
        <v>27</v>
      </c>
      <c r="G215" s="205">
        <f>IF(NT_I!J37&lt;&gt;"",NT_I!J37,"")</f>
      </c>
      <c r="H215" s="206">
        <f t="shared" si="14"/>
        <v>0</v>
      </c>
      <c r="I215" s="205">
        <f t="shared" si="15"/>
        <v>0</v>
      </c>
      <c r="J215" s="207">
        <f>NT_I!K37</f>
        <v>0</v>
      </c>
      <c r="K215" s="208">
        <f>NT_I!L37</f>
        <v>0</v>
      </c>
      <c r="L215" s="60"/>
      <c r="M215" s="62"/>
      <c r="N215" s="62"/>
      <c r="O215" s="62"/>
      <c r="P215" s="62"/>
      <c r="Q215" s="62"/>
      <c r="R215" s="62"/>
      <c r="S215" s="62"/>
      <c r="T215" s="62"/>
      <c r="U215" s="62"/>
      <c r="V215" s="62"/>
      <c r="W215" s="62"/>
      <c r="X215" s="61"/>
    </row>
    <row r="216" spans="4:24" ht="12.75">
      <c r="D216" s="204" t="s">
        <v>1092</v>
      </c>
      <c r="E216" s="205">
        <v>4</v>
      </c>
      <c r="F216" s="205">
        <f>NT_I!I38</f>
        <v>28</v>
      </c>
      <c r="G216" s="205">
        <f>IF(NT_I!J38&lt;&gt;"",NT_I!J38,"")</f>
      </c>
      <c r="H216" s="206">
        <f t="shared" si="14"/>
        <v>222587.12</v>
      </c>
      <c r="I216" s="205">
        <f t="shared" si="15"/>
        <v>0</v>
      </c>
      <c r="J216" s="207">
        <f>NT_I!K38</f>
        <v>0</v>
      </c>
      <c r="K216" s="208">
        <f>NT_I!L38</f>
        <v>397477</v>
      </c>
      <c r="L216" s="60"/>
      <c r="M216" s="62"/>
      <c r="N216" s="62"/>
      <c r="O216" s="62"/>
      <c r="P216" s="62"/>
      <c r="Q216" s="62"/>
      <c r="R216" s="62"/>
      <c r="S216" s="62"/>
      <c r="T216" s="62"/>
      <c r="U216" s="62"/>
      <c r="V216" s="62"/>
      <c r="W216" s="62"/>
      <c r="X216" s="61"/>
    </row>
    <row r="217" spans="4:24" ht="12.75">
      <c r="D217" s="204" t="s">
        <v>1092</v>
      </c>
      <c r="E217" s="205">
        <v>4</v>
      </c>
      <c r="F217" s="205">
        <f>NT_I!I39</f>
        <v>29</v>
      </c>
      <c r="G217" s="205">
        <f>IF(NT_I!J39&lt;&gt;"",NT_I!J39,"")</f>
      </c>
      <c r="H217" s="206">
        <f t="shared" si="14"/>
        <v>26359.260000000002</v>
      </c>
      <c r="I217" s="205">
        <f t="shared" si="15"/>
        <v>0</v>
      </c>
      <c r="J217" s="207">
        <f>NT_I!K39</f>
        <v>90894</v>
      </c>
      <c r="K217" s="208">
        <f>NT_I!L39</f>
        <v>0</v>
      </c>
      <c r="L217" s="60"/>
      <c r="M217" s="62"/>
      <c r="N217" s="62"/>
      <c r="O217" s="62"/>
      <c r="P217" s="62"/>
      <c r="Q217" s="62"/>
      <c r="R217" s="62"/>
      <c r="S217" s="62"/>
      <c r="T217" s="62"/>
      <c r="U217" s="62"/>
      <c r="V217" s="62"/>
      <c r="W217" s="62"/>
      <c r="X217" s="61"/>
    </row>
    <row r="218" spans="4:24" ht="12.75">
      <c r="D218" s="204" t="s">
        <v>1092</v>
      </c>
      <c r="E218" s="205">
        <v>4</v>
      </c>
      <c r="F218" s="205">
        <f>NT_I!I40</f>
        <v>30</v>
      </c>
      <c r="G218" s="205">
        <f>IF(NT_I!J40&lt;&gt;"",NT_I!J40,"")</f>
      </c>
      <c r="H218" s="206">
        <f t="shared" si="14"/>
        <v>-51149553.6</v>
      </c>
      <c r="I218" s="205">
        <f t="shared" si="15"/>
        <v>0</v>
      </c>
      <c r="J218" s="207">
        <f>NT_I!K40</f>
        <v>-163114500</v>
      </c>
      <c r="K218" s="208">
        <f>NT_I!L40</f>
        <v>-3692006</v>
      </c>
      <c r="L218" s="60"/>
      <c r="M218" s="62"/>
      <c r="N218" s="62"/>
      <c r="O218" s="62"/>
      <c r="P218" s="62"/>
      <c r="Q218" s="62"/>
      <c r="R218" s="62"/>
      <c r="S218" s="62"/>
      <c r="T218" s="62"/>
      <c r="U218" s="62"/>
      <c r="V218" s="62"/>
      <c r="W218" s="62"/>
      <c r="X218" s="61"/>
    </row>
    <row r="219" spans="4:24" ht="12.75">
      <c r="D219" s="204" t="s">
        <v>1092</v>
      </c>
      <c r="E219" s="205">
        <v>4</v>
      </c>
      <c r="F219" s="205">
        <f>NT_I!I42</f>
        <v>31</v>
      </c>
      <c r="G219" s="205">
        <f>IF(NT_I!J42&lt;&gt;"",NT_I!J42,"")</f>
      </c>
      <c r="H219" s="206">
        <f t="shared" si="14"/>
        <v>65651280.129999995</v>
      </c>
      <c r="I219" s="205">
        <f t="shared" si="15"/>
        <v>0</v>
      </c>
      <c r="J219" s="207">
        <f>NT_I!K42</f>
        <v>101284653</v>
      </c>
      <c r="K219" s="208">
        <f>NT_I!L42</f>
        <v>55246835</v>
      </c>
      <c r="L219" s="60"/>
      <c r="M219" s="62"/>
      <c r="N219" s="62"/>
      <c r="O219" s="62"/>
      <c r="P219" s="62"/>
      <c r="Q219" s="62"/>
      <c r="R219" s="62"/>
      <c r="S219" s="62"/>
      <c r="T219" s="62"/>
      <c r="U219" s="62"/>
      <c r="V219" s="62"/>
      <c r="W219" s="62"/>
      <c r="X219" s="61"/>
    </row>
    <row r="220" spans="4:24" ht="12.75">
      <c r="D220" s="204" t="s">
        <v>1092</v>
      </c>
      <c r="E220" s="205">
        <v>4</v>
      </c>
      <c r="F220" s="205">
        <f>NT_I!I43</f>
        <v>32</v>
      </c>
      <c r="G220" s="205">
        <f>IF(NT_I!J43&lt;&gt;"",NT_I!J43,"")</f>
      </c>
      <c r="H220" s="206">
        <f t="shared" si="14"/>
        <v>26169063.36</v>
      </c>
      <c r="I220" s="205">
        <f t="shared" si="15"/>
        <v>0</v>
      </c>
      <c r="J220" s="207">
        <f>NT_I!K43</f>
        <v>-28715347</v>
      </c>
      <c r="K220" s="208">
        <f>NT_I!L43</f>
        <v>55246835</v>
      </c>
      <c r="L220" s="60"/>
      <c r="M220" s="62"/>
      <c r="N220" s="62"/>
      <c r="O220" s="62"/>
      <c r="P220" s="62"/>
      <c r="Q220" s="62"/>
      <c r="R220" s="62"/>
      <c r="S220" s="62"/>
      <c r="T220" s="62"/>
      <c r="U220" s="62"/>
      <c r="V220" s="62"/>
      <c r="W220" s="62"/>
      <c r="X220" s="61"/>
    </row>
    <row r="221" spans="4:24" ht="12.75">
      <c r="D221" s="204" t="s">
        <v>1092</v>
      </c>
      <c r="E221" s="205">
        <v>4</v>
      </c>
      <c r="F221" s="205">
        <f>NT_I!I44</f>
        <v>33</v>
      </c>
      <c r="G221" s="205">
        <f>IF(NT_I!J44&lt;&gt;"",NT_I!J44,"")</f>
      </c>
      <c r="H221" s="206">
        <f t="shared" si="14"/>
        <v>0</v>
      </c>
      <c r="I221" s="205">
        <f t="shared" si="15"/>
        <v>0</v>
      </c>
      <c r="J221" s="207">
        <f>NT_I!K44</f>
        <v>0</v>
      </c>
      <c r="K221" s="208">
        <f>NT_I!L44</f>
        <v>0</v>
      </c>
      <c r="L221" s="60"/>
      <c r="M221" s="62"/>
      <c r="N221" s="62"/>
      <c r="O221" s="62"/>
      <c r="P221" s="62"/>
      <c r="Q221" s="62"/>
      <c r="R221" s="62"/>
      <c r="S221" s="62"/>
      <c r="T221" s="62"/>
      <c r="U221" s="62"/>
      <c r="V221" s="62"/>
      <c r="W221" s="62"/>
      <c r="X221" s="61"/>
    </row>
    <row r="222" spans="4:24" ht="12.75">
      <c r="D222" s="204" t="s">
        <v>1092</v>
      </c>
      <c r="E222" s="205">
        <v>4</v>
      </c>
      <c r="F222" s="205">
        <f>NT_I!I45</f>
        <v>34</v>
      </c>
      <c r="G222" s="205">
        <f>IF(NT_I!J45&lt;&gt;"",NT_I!J45,"")</f>
      </c>
      <c r="H222" s="206">
        <f aca="true" t="shared" si="16" ref="H222:H230">J222/100*F222+2*K222/100*F222</f>
        <v>44200000</v>
      </c>
      <c r="I222" s="205">
        <f aca="true" t="shared" si="17" ref="I222:I230">ABS(ROUND(J222,0)-J222)+ABS(ROUND(K222,0)-K222)</f>
        <v>0</v>
      </c>
      <c r="J222" s="207">
        <f>NT_I!K45</f>
        <v>130000000</v>
      </c>
      <c r="K222" s="208">
        <f>NT_I!L45</f>
        <v>0</v>
      </c>
      <c r="L222" s="60"/>
      <c r="M222" s="62"/>
      <c r="N222" s="62"/>
      <c r="O222" s="62"/>
      <c r="P222" s="62"/>
      <c r="Q222" s="62"/>
      <c r="R222" s="62"/>
      <c r="S222" s="62"/>
      <c r="T222" s="62"/>
      <c r="U222" s="62"/>
      <c r="V222" s="62"/>
      <c r="W222" s="62"/>
      <c r="X222" s="61"/>
    </row>
    <row r="223" spans="4:24" ht="12.75">
      <c r="D223" s="204" t="s">
        <v>1092</v>
      </c>
      <c r="E223" s="205">
        <v>4</v>
      </c>
      <c r="F223" s="205">
        <f>NT_I!I46</f>
        <v>35</v>
      </c>
      <c r="G223" s="205">
        <f>IF(NT_I!J46&lt;&gt;"",NT_I!J46,"")</f>
      </c>
      <c r="H223" s="206">
        <f t="shared" si="16"/>
        <v>0</v>
      </c>
      <c r="I223" s="205">
        <f t="shared" si="17"/>
        <v>0</v>
      </c>
      <c r="J223" s="207">
        <f>NT_I!K46</f>
        <v>0</v>
      </c>
      <c r="K223" s="208">
        <f>NT_I!L46</f>
        <v>0</v>
      </c>
      <c r="L223" s="60"/>
      <c r="M223" s="62"/>
      <c r="N223" s="62"/>
      <c r="O223" s="62"/>
      <c r="P223" s="62"/>
      <c r="Q223" s="62"/>
      <c r="R223" s="62"/>
      <c r="S223" s="62"/>
      <c r="T223" s="62"/>
      <c r="U223" s="62"/>
      <c r="V223" s="62"/>
      <c r="W223" s="62"/>
      <c r="X223" s="61"/>
    </row>
    <row r="224" spans="4:24" ht="12.75">
      <c r="D224" s="204" t="s">
        <v>1092</v>
      </c>
      <c r="E224" s="205">
        <v>4</v>
      </c>
      <c r="F224" s="205">
        <f>NT_I!I47</f>
        <v>36</v>
      </c>
      <c r="G224" s="205">
        <f>IF(NT_I!J47&lt;&gt;"",NT_I!J47,"")</f>
      </c>
      <c r="H224" s="206">
        <f t="shared" si="16"/>
        <v>0</v>
      </c>
      <c r="I224" s="205">
        <f t="shared" si="17"/>
        <v>0</v>
      </c>
      <c r="J224" s="207">
        <f>NT_I!K47</f>
        <v>0</v>
      </c>
      <c r="K224" s="208">
        <f>NT_I!L47</f>
        <v>0</v>
      </c>
      <c r="L224" s="60"/>
      <c r="M224" s="62"/>
      <c r="N224" s="62"/>
      <c r="O224" s="62"/>
      <c r="P224" s="62"/>
      <c r="Q224" s="62"/>
      <c r="R224" s="62"/>
      <c r="S224" s="62"/>
      <c r="T224" s="62"/>
      <c r="U224" s="62"/>
      <c r="V224" s="62"/>
      <c r="W224" s="62"/>
      <c r="X224" s="61"/>
    </row>
    <row r="225" spans="4:24" ht="12.75">
      <c r="D225" s="204" t="s">
        <v>1092</v>
      </c>
      <c r="E225" s="205">
        <v>4</v>
      </c>
      <c r="F225" s="205">
        <f>NT_I!I48</f>
        <v>37</v>
      </c>
      <c r="G225" s="205">
        <f>IF(NT_I!J48&lt;&gt;"",NT_I!J48,"")</f>
      </c>
      <c r="H225" s="206">
        <f t="shared" si="16"/>
        <v>0</v>
      </c>
      <c r="I225" s="205">
        <f t="shared" si="17"/>
        <v>0</v>
      </c>
      <c r="J225" s="207">
        <f>NT_I!K48</f>
        <v>0</v>
      </c>
      <c r="K225" s="208">
        <f>NT_I!L48</f>
        <v>0</v>
      </c>
      <c r="L225" s="60"/>
      <c r="M225" s="62"/>
      <c r="N225" s="62"/>
      <c r="O225" s="62"/>
      <c r="P225" s="62"/>
      <c r="Q225" s="62"/>
      <c r="R225" s="62"/>
      <c r="S225" s="62"/>
      <c r="T225" s="62"/>
      <c r="U225" s="62"/>
      <c r="V225" s="62"/>
      <c r="W225" s="62"/>
      <c r="X225" s="61"/>
    </row>
    <row r="226" spans="4:24" ht="12.75">
      <c r="D226" s="204" t="s">
        <v>1092</v>
      </c>
      <c r="E226" s="205">
        <v>4</v>
      </c>
      <c r="F226" s="205">
        <f>NT_I!I49</f>
        <v>38</v>
      </c>
      <c r="G226" s="205">
        <f>IF(NT_I!J49&lt;&gt;"",NT_I!J49,"")</f>
      </c>
      <c r="H226" s="206">
        <f t="shared" si="16"/>
        <v>22487332.580000006</v>
      </c>
      <c r="I226" s="205">
        <f t="shared" si="17"/>
        <v>0</v>
      </c>
      <c r="J226" s="207">
        <f>NT_I!K49</f>
        <v>-132430849</v>
      </c>
      <c r="K226" s="208">
        <f>NT_I!L49</f>
        <v>95804020</v>
      </c>
      <c r="L226" s="60"/>
      <c r="M226" s="62"/>
      <c r="N226" s="62"/>
      <c r="O226" s="62"/>
      <c r="P226" s="62"/>
      <c r="Q226" s="62"/>
      <c r="R226" s="62"/>
      <c r="S226" s="62"/>
      <c r="T226" s="62"/>
      <c r="U226" s="62"/>
      <c r="V226" s="62"/>
      <c r="W226" s="62"/>
      <c r="X226" s="61"/>
    </row>
    <row r="227" spans="4:24" ht="12.75">
      <c r="D227" s="204" t="s">
        <v>1092</v>
      </c>
      <c r="E227" s="205">
        <v>4</v>
      </c>
      <c r="F227" s="205">
        <f>NT_I!I50</f>
        <v>39</v>
      </c>
      <c r="G227" s="205">
        <f>IF(NT_I!J50&lt;&gt;"",NT_I!J50,"")</f>
      </c>
      <c r="H227" s="206">
        <f t="shared" si="16"/>
        <v>0</v>
      </c>
      <c r="I227" s="205">
        <f t="shared" si="17"/>
        <v>0</v>
      </c>
      <c r="J227" s="207">
        <f>NT_I!K50</f>
        <v>0</v>
      </c>
      <c r="K227" s="208">
        <f>NT_I!L50</f>
        <v>0</v>
      </c>
      <c r="L227" s="60"/>
      <c r="M227" s="62"/>
      <c r="N227" s="62"/>
      <c r="O227" s="62"/>
      <c r="P227" s="62"/>
      <c r="Q227" s="62"/>
      <c r="R227" s="62"/>
      <c r="S227" s="62"/>
      <c r="T227" s="62"/>
      <c r="U227" s="62"/>
      <c r="V227" s="62"/>
      <c r="W227" s="62"/>
      <c r="X227" s="61"/>
    </row>
    <row r="228" spans="4:24" ht="12.75">
      <c r="D228" s="204" t="s">
        <v>1092</v>
      </c>
      <c r="E228" s="205">
        <v>4</v>
      </c>
      <c r="F228" s="205">
        <f>NT_I!I51</f>
        <v>40</v>
      </c>
      <c r="G228" s="205">
        <f>IF(NT_I!J51&lt;&gt;"",NT_I!J51,"")</f>
      </c>
      <c r="H228" s="206">
        <f t="shared" si="16"/>
        <v>23670876.4</v>
      </c>
      <c r="I228" s="205">
        <f t="shared" si="17"/>
        <v>0</v>
      </c>
      <c r="J228" s="207">
        <f>NT_I!K51</f>
        <v>-132430849</v>
      </c>
      <c r="K228" s="208">
        <f>NT_I!L51</f>
        <v>95804020</v>
      </c>
      <c r="L228" s="60"/>
      <c r="M228" s="62"/>
      <c r="N228" s="62"/>
      <c r="O228" s="62"/>
      <c r="P228" s="62"/>
      <c r="Q228" s="62"/>
      <c r="R228" s="62"/>
      <c r="S228" s="62"/>
      <c r="T228" s="62"/>
      <c r="U228" s="62"/>
      <c r="V228" s="62"/>
      <c r="W228" s="62"/>
      <c r="X228" s="61"/>
    </row>
    <row r="229" spans="4:24" ht="12.75">
      <c r="D229" s="204" t="s">
        <v>1092</v>
      </c>
      <c r="E229" s="205">
        <v>4</v>
      </c>
      <c r="F229" s="205">
        <f>NT_I!I52</f>
        <v>41</v>
      </c>
      <c r="G229" s="205">
        <f>IF(NT_I!J52&lt;&gt;"",NT_I!J52,"")</f>
      </c>
      <c r="H229" s="206">
        <f t="shared" si="16"/>
        <v>339136088.72</v>
      </c>
      <c r="I229" s="205">
        <f t="shared" si="17"/>
        <v>0</v>
      </c>
      <c r="J229" s="207">
        <f>NT_I!K52</f>
        <v>364007630</v>
      </c>
      <c r="K229" s="208">
        <f>NT_I!L52</f>
        <v>231576781</v>
      </c>
      <c r="L229" s="60"/>
      <c r="M229" s="62"/>
      <c r="N229" s="62"/>
      <c r="O229" s="62"/>
      <c r="P229" s="62"/>
      <c r="Q229" s="62"/>
      <c r="R229" s="62"/>
      <c r="S229" s="62"/>
      <c r="T229" s="62"/>
      <c r="U229" s="62"/>
      <c r="V229" s="62"/>
      <c r="W229" s="62"/>
      <c r="X229" s="61"/>
    </row>
    <row r="230" spans="4:24" ht="12.75">
      <c r="D230" s="209" t="s">
        <v>1092</v>
      </c>
      <c r="E230" s="210">
        <v>4</v>
      </c>
      <c r="F230" s="210">
        <f>NT_I!I53</f>
        <v>42</v>
      </c>
      <c r="G230" s="210">
        <f>IF(NT_I!J53&lt;&gt;"",NT_I!J53,"")</f>
      </c>
      <c r="H230" s="211">
        <f t="shared" si="16"/>
        <v>372262120.85999995</v>
      </c>
      <c r="I230" s="210">
        <f t="shared" si="17"/>
        <v>0</v>
      </c>
      <c r="J230" s="212">
        <f>NT_I!K53</f>
        <v>231576781</v>
      </c>
      <c r="K230" s="213">
        <f>NT_I!L53</f>
        <v>327380801</v>
      </c>
      <c r="L230" s="60"/>
      <c r="M230" s="62"/>
      <c r="N230" s="62"/>
      <c r="O230" s="62"/>
      <c r="P230" s="62"/>
      <c r="Q230" s="62"/>
      <c r="R230" s="62"/>
      <c r="S230" s="62"/>
      <c r="T230" s="62"/>
      <c r="U230" s="62"/>
      <c r="V230" s="62"/>
      <c r="W230" s="62"/>
      <c r="X230" s="61"/>
    </row>
    <row r="231" spans="4:24" ht="12.75">
      <c r="D231" s="185" t="s">
        <v>1093</v>
      </c>
      <c r="E231" s="186">
        <v>5</v>
      </c>
      <c r="F231" s="217">
        <f>NT_D!I10</f>
        <v>1</v>
      </c>
      <c r="G231" s="217">
        <f>IF(NT_D!J10&lt;&gt;"",NT_D!J10,"")</f>
      </c>
      <c r="H231" s="187">
        <f>J231/100*F231+2*K231/100*F231</f>
        <v>0</v>
      </c>
      <c r="I231" s="186">
        <f>ABS(ROUND(J231,0)-J231)+ABS(ROUND(K231,0)-K231)</f>
        <v>0</v>
      </c>
      <c r="J231" s="214">
        <f>NT_D!K10</f>
        <v>0</v>
      </c>
      <c r="K231" s="188">
        <f>NT_D!L10</f>
        <v>0</v>
      </c>
      <c r="L231" s="60"/>
      <c r="M231" s="62"/>
      <c r="N231" s="62"/>
      <c r="O231" s="62"/>
      <c r="P231" s="62"/>
      <c r="Q231" s="62"/>
      <c r="R231" s="62"/>
      <c r="S231" s="62"/>
      <c r="T231" s="62"/>
      <c r="U231" s="62"/>
      <c r="V231" s="62"/>
      <c r="W231" s="62"/>
      <c r="X231" s="61"/>
    </row>
    <row r="232" spans="4:24" ht="12.75">
      <c r="D232" s="189" t="s">
        <v>1093</v>
      </c>
      <c r="E232" s="190">
        <v>5</v>
      </c>
      <c r="F232" s="218">
        <f>NT_D!I11</f>
        <v>2</v>
      </c>
      <c r="G232" s="218">
        <f>IF(NT_D!J11&lt;&gt;"",NT_D!J11,"")</f>
      </c>
      <c r="H232" s="191">
        <f>J232/100*F232+2*K232/100*F232</f>
        <v>0</v>
      </c>
      <c r="I232" s="190">
        <f>ABS(ROUND(J232,0)-J232)+ABS(ROUND(K232,0)-K232)</f>
        <v>0</v>
      </c>
      <c r="J232" s="215">
        <f>NT_D!K11</f>
        <v>0</v>
      </c>
      <c r="K232" s="192">
        <f>NT_D!L11</f>
        <v>0</v>
      </c>
      <c r="L232" s="60"/>
      <c r="M232" s="62"/>
      <c r="N232" s="62"/>
      <c r="O232" s="62"/>
      <c r="P232" s="62"/>
      <c r="Q232" s="62"/>
      <c r="R232" s="62"/>
      <c r="S232" s="62"/>
      <c r="T232" s="62"/>
      <c r="U232" s="62"/>
      <c r="V232" s="62"/>
      <c r="W232" s="62"/>
      <c r="X232" s="61"/>
    </row>
    <row r="233" spans="4:24" ht="12.75">
      <c r="D233" s="189" t="s">
        <v>1093</v>
      </c>
      <c r="E233" s="190">
        <v>5</v>
      </c>
      <c r="F233" s="218">
        <f>NT_D!I12</f>
        <v>3</v>
      </c>
      <c r="G233" s="218">
        <f>IF(NT_D!J12&lt;&gt;"",NT_D!J12,"")</f>
      </c>
      <c r="H233" s="191">
        <f aca="true" t="shared" si="18" ref="H233:H273">J233/100*F233+2*K233/100*F233</f>
        <v>0</v>
      </c>
      <c r="I233" s="190">
        <f aca="true" t="shared" si="19" ref="I233:I273">ABS(ROUND(J233,0)-J233)+ABS(ROUND(K233,0)-K233)</f>
        <v>0</v>
      </c>
      <c r="J233" s="215">
        <f>NT_D!K12</f>
        <v>0</v>
      </c>
      <c r="K233" s="192">
        <f>NT_D!L12</f>
        <v>0</v>
      </c>
      <c r="L233" s="60"/>
      <c r="M233" s="62"/>
      <c r="N233" s="62"/>
      <c r="O233" s="62"/>
      <c r="P233" s="62"/>
      <c r="Q233" s="62"/>
      <c r="R233" s="62"/>
      <c r="S233" s="62"/>
      <c r="T233" s="62"/>
      <c r="U233" s="62"/>
      <c r="V233" s="62"/>
      <c r="W233" s="62"/>
      <c r="X233" s="61"/>
    </row>
    <row r="234" spans="4:24" ht="12.75">
      <c r="D234" s="189" t="s">
        <v>1093</v>
      </c>
      <c r="E234" s="190">
        <v>5</v>
      </c>
      <c r="F234" s="218">
        <f>NT_D!I13</f>
        <v>4</v>
      </c>
      <c r="G234" s="218">
        <f>IF(NT_D!J13&lt;&gt;"",NT_D!J13,"")</f>
      </c>
      <c r="H234" s="191">
        <f t="shared" si="18"/>
        <v>0</v>
      </c>
      <c r="I234" s="190">
        <f t="shared" si="19"/>
        <v>0</v>
      </c>
      <c r="J234" s="215">
        <f>NT_D!K13</f>
        <v>0</v>
      </c>
      <c r="K234" s="192">
        <f>NT_D!L13</f>
        <v>0</v>
      </c>
      <c r="L234" s="60"/>
      <c r="M234" s="62"/>
      <c r="N234" s="62"/>
      <c r="O234" s="62"/>
      <c r="P234" s="62"/>
      <c r="Q234" s="62"/>
      <c r="R234" s="62"/>
      <c r="S234" s="62"/>
      <c r="T234" s="62"/>
      <c r="U234" s="62"/>
      <c r="V234" s="62"/>
      <c r="W234" s="62"/>
      <c r="X234" s="61"/>
    </row>
    <row r="235" spans="4:24" ht="12.75">
      <c r="D235" s="189" t="s">
        <v>1093</v>
      </c>
      <c r="E235" s="190">
        <v>5</v>
      </c>
      <c r="F235" s="218">
        <f>NT_D!I14</f>
        <v>5</v>
      </c>
      <c r="G235" s="218">
        <f>IF(NT_D!J14&lt;&gt;"",NT_D!J14,"")</f>
      </c>
      <c r="H235" s="191">
        <f t="shared" si="18"/>
        <v>0</v>
      </c>
      <c r="I235" s="190">
        <f t="shared" si="19"/>
        <v>0</v>
      </c>
      <c r="J235" s="215">
        <f>NT_D!K14</f>
        <v>0</v>
      </c>
      <c r="K235" s="192">
        <f>NT_D!L14</f>
        <v>0</v>
      </c>
      <c r="L235" s="60"/>
      <c r="M235" s="62"/>
      <c r="N235" s="62"/>
      <c r="O235" s="62"/>
      <c r="P235" s="62"/>
      <c r="Q235" s="62"/>
      <c r="R235" s="62"/>
      <c r="S235" s="62"/>
      <c r="T235" s="62"/>
      <c r="U235" s="62"/>
      <c r="V235" s="62"/>
      <c r="W235" s="62"/>
      <c r="X235" s="61"/>
    </row>
    <row r="236" spans="4:24" ht="12.75">
      <c r="D236" s="189" t="s">
        <v>1093</v>
      </c>
      <c r="E236" s="190">
        <v>5</v>
      </c>
      <c r="F236" s="218">
        <f>NT_D!I15</f>
        <v>6</v>
      </c>
      <c r="G236" s="218">
        <f>IF(NT_D!J15&lt;&gt;"",NT_D!J15,"")</f>
      </c>
      <c r="H236" s="191">
        <f t="shared" si="18"/>
        <v>0</v>
      </c>
      <c r="I236" s="190">
        <f t="shared" si="19"/>
        <v>0</v>
      </c>
      <c r="J236" s="215">
        <f>NT_D!K15</f>
        <v>0</v>
      </c>
      <c r="K236" s="192">
        <f>NT_D!L15</f>
        <v>0</v>
      </c>
      <c r="L236" s="60"/>
      <c r="M236" s="62"/>
      <c r="N236" s="62"/>
      <c r="O236" s="62"/>
      <c r="P236" s="62"/>
      <c r="Q236" s="62"/>
      <c r="R236" s="62"/>
      <c r="S236" s="62"/>
      <c r="T236" s="62"/>
      <c r="U236" s="62"/>
      <c r="V236" s="62"/>
      <c r="W236" s="62"/>
      <c r="X236" s="61"/>
    </row>
    <row r="237" spans="4:24" ht="12.75">
      <c r="D237" s="189" t="s">
        <v>1093</v>
      </c>
      <c r="E237" s="190">
        <v>5</v>
      </c>
      <c r="F237" s="218">
        <f>NT_D!I16</f>
        <v>7</v>
      </c>
      <c r="G237" s="218">
        <f>IF(NT_D!J16&lt;&gt;"",NT_D!J16,"")</f>
      </c>
      <c r="H237" s="191">
        <f t="shared" si="18"/>
        <v>0</v>
      </c>
      <c r="I237" s="190">
        <f t="shared" si="19"/>
        <v>0</v>
      </c>
      <c r="J237" s="215">
        <f>NT_D!K16</f>
        <v>0</v>
      </c>
      <c r="K237" s="192">
        <f>NT_D!L16</f>
        <v>0</v>
      </c>
      <c r="L237" s="60"/>
      <c r="M237" s="62"/>
      <c r="N237" s="62"/>
      <c r="O237" s="62"/>
      <c r="P237" s="62"/>
      <c r="Q237" s="62"/>
      <c r="R237" s="62"/>
      <c r="S237" s="62"/>
      <c r="T237" s="62"/>
      <c r="U237" s="62"/>
      <c r="V237" s="62"/>
      <c r="W237" s="62"/>
      <c r="X237" s="61"/>
    </row>
    <row r="238" spans="4:24" ht="12.75">
      <c r="D238" s="189" t="s">
        <v>1093</v>
      </c>
      <c r="E238" s="190">
        <v>5</v>
      </c>
      <c r="F238" s="218">
        <f>NT_D!I17</f>
        <v>8</v>
      </c>
      <c r="G238" s="218">
        <f>IF(NT_D!J17&lt;&gt;"",NT_D!J17,"")</f>
      </c>
      <c r="H238" s="191">
        <f t="shared" si="18"/>
        <v>0</v>
      </c>
      <c r="I238" s="190">
        <f t="shared" si="19"/>
        <v>0</v>
      </c>
      <c r="J238" s="215">
        <f>NT_D!K17</f>
        <v>0</v>
      </c>
      <c r="K238" s="192">
        <f>NT_D!L17</f>
        <v>0</v>
      </c>
      <c r="L238" s="60"/>
      <c r="M238" s="62"/>
      <c r="N238" s="62"/>
      <c r="O238" s="62"/>
      <c r="P238" s="62"/>
      <c r="Q238" s="62"/>
      <c r="R238" s="62"/>
      <c r="S238" s="62"/>
      <c r="T238" s="62"/>
      <c r="U238" s="62"/>
      <c r="V238" s="62"/>
      <c r="W238" s="62"/>
      <c r="X238" s="61"/>
    </row>
    <row r="239" spans="4:24" ht="12.75">
      <c r="D239" s="189" t="s">
        <v>1093</v>
      </c>
      <c r="E239" s="190">
        <v>5</v>
      </c>
      <c r="F239" s="218">
        <f>NT_D!I18</f>
        <v>9</v>
      </c>
      <c r="G239" s="218">
        <f>IF(NT_D!J18&lt;&gt;"",NT_D!J18,"")</f>
      </c>
      <c r="H239" s="191">
        <f t="shared" si="18"/>
        <v>0</v>
      </c>
      <c r="I239" s="190">
        <f t="shared" si="19"/>
        <v>0</v>
      </c>
      <c r="J239" s="215">
        <f>NT_D!K18</f>
        <v>0</v>
      </c>
      <c r="K239" s="192">
        <f>NT_D!L18</f>
        <v>0</v>
      </c>
      <c r="L239" s="60"/>
      <c r="M239" s="62"/>
      <c r="N239" s="62"/>
      <c r="O239" s="62"/>
      <c r="P239" s="62"/>
      <c r="Q239" s="62"/>
      <c r="R239" s="62"/>
      <c r="S239" s="62"/>
      <c r="T239" s="62"/>
      <c r="U239" s="62"/>
      <c r="V239" s="62"/>
      <c r="W239" s="62"/>
      <c r="X239" s="61"/>
    </row>
    <row r="240" spans="4:24" ht="12.75">
      <c r="D240" s="189" t="s">
        <v>1093</v>
      </c>
      <c r="E240" s="190">
        <v>5</v>
      </c>
      <c r="F240" s="218">
        <f>NT_D!I19</f>
        <v>10</v>
      </c>
      <c r="G240" s="218">
        <f>IF(NT_D!J19&lt;&gt;"",NT_D!J19,"")</f>
      </c>
      <c r="H240" s="191">
        <f t="shared" si="18"/>
        <v>0</v>
      </c>
      <c r="I240" s="190">
        <f t="shared" si="19"/>
        <v>0</v>
      </c>
      <c r="J240" s="215">
        <f>NT_D!K19</f>
        <v>0</v>
      </c>
      <c r="K240" s="192">
        <f>NT_D!L19</f>
        <v>0</v>
      </c>
      <c r="L240" s="60"/>
      <c r="M240" s="62"/>
      <c r="N240" s="62"/>
      <c r="O240" s="62"/>
      <c r="P240" s="62"/>
      <c r="Q240" s="62"/>
      <c r="R240" s="62"/>
      <c r="S240" s="62"/>
      <c r="T240" s="62"/>
      <c r="U240" s="62"/>
      <c r="V240" s="62"/>
      <c r="W240" s="62"/>
      <c r="X240" s="61"/>
    </row>
    <row r="241" spans="4:24" ht="12.75">
      <c r="D241" s="189" t="s">
        <v>1093</v>
      </c>
      <c r="E241" s="190">
        <v>5</v>
      </c>
      <c r="F241" s="218">
        <f>NT_D!I20</f>
        <v>11</v>
      </c>
      <c r="G241" s="218">
        <f>IF(NT_D!J20&lt;&gt;"",NT_D!J20,"")</f>
      </c>
      <c r="H241" s="191">
        <f t="shared" si="18"/>
        <v>0</v>
      </c>
      <c r="I241" s="190">
        <f t="shared" si="19"/>
        <v>0</v>
      </c>
      <c r="J241" s="215">
        <f>NT_D!K20</f>
        <v>0</v>
      </c>
      <c r="K241" s="192">
        <f>NT_D!L20</f>
        <v>0</v>
      </c>
      <c r="L241" s="60"/>
      <c r="M241" s="62"/>
      <c r="N241" s="62"/>
      <c r="O241" s="62"/>
      <c r="P241" s="62"/>
      <c r="Q241" s="62"/>
      <c r="R241" s="62"/>
      <c r="S241" s="62"/>
      <c r="T241" s="62"/>
      <c r="U241" s="62"/>
      <c r="V241" s="62"/>
      <c r="W241" s="62"/>
      <c r="X241" s="61"/>
    </row>
    <row r="242" spans="4:24" ht="12.75">
      <c r="D242" s="189" t="s">
        <v>1093</v>
      </c>
      <c r="E242" s="190">
        <v>5</v>
      </c>
      <c r="F242" s="218">
        <f>NT_D!I21</f>
        <v>12</v>
      </c>
      <c r="G242" s="218">
        <f>IF(NT_D!J21&lt;&gt;"",NT_D!J21,"")</f>
      </c>
      <c r="H242" s="191">
        <f t="shared" si="18"/>
        <v>0</v>
      </c>
      <c r="I242" s="190">
        <f t="shared" si="19"/>
        <v>0</v>
      </c>
      <c r="J242" s="215">
        <f>NT_D!K21</f>
        <v>0</v>
      </c>
      <c r="K242" s="192">
        <f>NT_D!L21</f>
        <v>0</v>
      </c>
      <c r="L242" s="60"/>
      <c r="M242" s="62"/>
      <c r="N242" s="62"/>
      <c r="O242" s="62"/>
      <c r="P242" s="62"/>
      <c r="Q242" s="62"/>
      <c r="R242" s="62"/>
      <c r="S242" s="62"/>
      <c r="T242" s="62"/>
      <c r="U242" s="62"/>
      <c r="V242" s="62"/>
      <c r="W242" s="62"/>
      <c r="X242" s="61"/>
    </row>
    <row r="243" spans="4:24" ht="12.75">
      <c r="D243" s="189" t="s">
        <v>1093</v>
      </c>
      <c r="E243" s="190">
        <v>5</v>
      </c>
      <c r="F243" s="218">
        <f>NT_D!I22</f>
        <v>13</v>
      </c>
      <c r="G243" s="218">
        <f>IF(NT_D!J22&lt;&gt;"",NT_D!J22,"")</f>
      </c>
      <c r="H243" s="191">
        <f t="shared" si="18"/>
        <v>0</v>
      </c>
      <c r="I243" s="190">
        <f t="shared" si="19"/>
        <v>0</v>
      </c>
      <c r="J243" s="215">
        <f>NT_D!K22</f>
        <v>0</v>
      </c>
      <c r="K243" s="192">
        <f>NT_D!L22</f>
        <v>0</v>
      </c>
      <c r="L243" s="60"/>
      <c r="M243" s="62"/>
      <c r="N243" s="62"/>
      <c r="O243" s="62"/>
      <c r="P243" s="62"/>
      <c r="Q243" s="62"/>
      <c r="R243" s="62"/>
      <c r="S243" s="62"/>
      <c r="T243" s="62"/>
      <c r="U243" s="62"/>
      <c r="V243" s="62"/>
      <c r="W243" s="62"/>
      <c r="X243" s="61"/>
    </row>
    <row r="244" spans="4:24" ht="12.75">
      <c r="D244" s="189" t="s">
        <v>1093</v>
      </c>
      <c r="E244" s="190">
        <v>5</v>
      </c>
      <c r="F244" s="218">
        <f>NT_D!I23</f>
        <v>14</v>
      </c>
      <c r="G244" s="218">
        <f>IF(NT_D!J23&lt;&gt;"",NT_D!J23,"")</f>
      </c>
      <c r="H244" s="191">
        <f t="shared" si="18"/>
        <v>0</v>
      </c>
      <c r="I244" s="190">
        <f t="shared" si="19"/>
        <v>0</v>
      </c>
      <c r="J244" s="215">
        <f>NT_D!K23</f>
        <v>0</v>
      </c>
      <c r="K244" s="192">
        <f>NT_D!L23</f>
        <v>0</v>
      </c>
      <c r="L244" s="60"/>
      <c r="M244" s="62"/>
      <c r="N244" s="62"/>
      <c r="O244" s="62"/>
      <c r="P244" s="62"/>
      <c r="Q244" s="62"/>
      <c r="R244" s="62"/>
      <c r="S244" s="62"/>
      <c r="T244" s="62"/>
      <c r="U244" s="62"/>
      <c r="V244" s="62"/>
      <c r="W244" s="62"/>
      <c r="X244" s="61"/>
    </row>
    <row r="245" spans="4:24" ht="12.75">
      <c r="D245" s="189" t="s">
        <v>1093</v>
      </c>
      <c r="E245" s="190">
        <v>5</v>
      </c>
      <c r="F245" s="218">
        <f>NT_D!I24</f>
        <v>15</v>
      </c>
      <c r="G245" s="218">
        <f>IF(NT_D!J24&lt;&gt;"",NT_D!J24,"")</f>
      </c>
      <c r="H245" s="191">
        <f t="shared" si="18"/>
        <v>0</v>
      </c>
      <c r="I245" s="190">
        <f t="shared" si="19"/>
        <v>0</v>
      </c>
      <c r="J245" s="215">
        <f>NT_D!K24</f>
        <v>0</v>
      </c>
      <c r="K245" s="192">
        <f>NT_D!L24</f>
        <v>0</v>
      </c>
      <c r="L245" s="60"/>
      <c r="M245" s="62"/>
      <c r="N245" s="62"/>
      <c r="O245" s="62"/>
      <c r="P245" s="62"/>
      <c r="Q245" s="62"/>
      <c r="R245" s="62"/>
      <c r="S245" s="62"/>
      <c r="T245" s="62"/>
      <c r="U245" s="62"/>
      <c r="V245" s="62"/>
      <c r="W245" s="62"/>
      <c r="X245" s="61"/>
    </row>
    <row r="246" spans="4:24" ht="12.75">
      <c r="D246" s="189" t="s">
        <v>1093</v>
      </c>
      <c r="E246" s="190">
        <v>5</v>
      </c>
      <c r="F246" s="218">
        <f>NT_D!I25</f>
        <v>16</v>
      </c>
      <c r="G246" s="218">
        <f>IF(NT_D!J25&lt;&gt;"",NT_D!J25,"")</f>
      </c>
      <c r="H246" s="191">
        <f t="shared" si="18"/>
        <v>0</v>
      </c>
      <c r="I246" s="190">
        <f t="shared" si="19"/>
        <v>0</v>
      </c>
      <c r="J246" s="215">
        <f>NT_D!K25</f>
        <v>0</v>
      </c>
      <c r="K246" s="192">
        <f>NT_D!L25</f>
        <v>0</v>
      </c>
      <c r="L246" s="60"/>
      <c r="M246" s="62"/>
      <c r="N246" s="62"/>
      <c r="O246" s="62"/>
      <c r="P246" s="62"/>
      <c r="Q246" s="62"/>
      <c r="R246" s="62"/>
      <c r="S246" s="62"/>
      <c r="T246" s="62"/>
      <c r="U246" s="62"/>
      <c r="V246" s="62"/>
      <c r="W246" s="62"/>
      <c r="X246" s="61"/>
    </row>
    <row r="247" spans="4:24" ht="12.75">
      <c r="D247" s="189" t="s">
        <v>1093</v>
      </c>
      <c r="E247" s="190">
        <v>5</v>
      </c>
      <c r="F247" s="218">
        <f>NT_D!I26</f>
        <v>17</v>
      </c>
      <c r="G247" s="218">
        <f>IF(NT_D!J26&lt;&gt;"",NT_D!J26,"")</f>
      </c>
      <c r="H247" s="191">
        <f t="shared" si="18"/>
        <v>0</v>
      </c>
      <c r="I247" s="190">
        <f t="shared" si="19"/>
        <v>0</v>
      </c>
      <c r="J247" s="215">
        <f>NT_D!K26</f>
        <v>0</v>
      </c>
      <c r="K247" s="192">
        <f>NT_D!L26</f>
        <v>0</v>
      </c>
      <c r="L247" s="60"/>
      <c r="M247" s="62"/>
      <c r="N247" s="62"/>
      <c r="O247" s="62"/>
      <c r="P247" s="62"/>
      <c r="Q247" s="62"/>
      <c r="R247" s="62"/>
      <c r="S247" s="62"/>
      <c r="T247" s="62"/>
      <c r="U247" s="62"/>
      <c r="V247" s="62"/>
      <c r="W247" s="62"/>
      <c r="X247" s="61"/>
    </row>
    <row r="248" spans="4:24" ht="12.75">
      <c r="D248" s="189" t="s">
        <v>1093</v>
      </c>
      <c r="E248" s="190">
        <v>5</v>
      </c>
      <c r="F248" s="218">
        <f>NT_D!I27</f>
        <v>18</v>
      </c>
      <c r="G248" s="218">
        <f>IF(NT_D!J27&lt;&gt;"",NT_D!J27,"")</f>
      </c>
      <c r="H248" s="191">
        <f t="shared" si="18"/>
        <v>0</v>
      </c>
      <c r="I248" s="190">
        <f t="shared" si="19"/>
        <v>0</v>
      </c>
      <c r="J248" s="215">
        <f>NT_D!K27</f>
        <v>0</v>
      </c>
      <c r="K248" s="192">
        <f>NT_D!L27</f>
        <v>0</v>
      </c>
      <c r="L248" s="60"/>
      <c r="M248" s="62"/>
      <c r="N248" s="62"/>
      <c r="O248" s="62"/>
      <c r="P248" s="62"/>
      <c r="Q248" s="62"/>
      <c r="R248" s="62"/>
      <c r="S248" s="62"/>
      <c r="T248" s="62"/>
      <c r="U248" s="62"/>
      <c r="V248" s="62"/>
      <c r="W248" s="62"/>
      <c r="X248" s="61"/>
    </row>
    <row r="249" spans="4:24" ht="12.75">
      <c r="D249" s="189" t="s">
        <v>1093</v>
      </c>
      <c r="E249" s="190">
        <v>5</v>
      </c>
      <c r="F249" s="218">
        <f>NT_D!I28</f>
        <v>19</v>
      </c>
      <c r="G249" s="218">
        <f>IF(NT_D!J28&lt;&gt;"",NT_D!J28,"")</f>
      </c>
      <c r="H249" s="191">
        <f t="shared" si="18"/>
        <v>0</v>
      </c>
      <c r="I249" s="190">
        <f t="shared" si="19"/>
        <v>0</v>
      </c>
      <c r="J249" s="215">
        <f>NT_D!K28</f>
        <v>0</v>
      </c>
      <c r="K249" s="192">
        <f>NT_D!L28</f>
        <v>0</v>
      </c>
      <c r="L249" s="60"/>
      <c r="M249" s="62"/>
      <c r="N249" s="62"/>
      <c r="O249" s="62"/>
      <c r="P249" s="62"/>
      <c r="Q249" s="62"/>
      <c r="R249" s="62"/>
      <c r="S249" s="62"/>
      <c r="T249" s="62"/>
      <c r="U249" s="62"/>
      <c r="V249" s="62"/>
      <c r="W249" s="62"/>
      <c r="X249" s="61"/>
    </row>
    <row r="250" spans="4:24" ht="12.75">
      <c r="D250" s="189" t="s">
        <v>1093</v>
      </c>
      <c r="E250" s="190">
        <v>5</v>
      </c>
      <c r="F250" s="218">
        <f>NT_D!I29</f>
        <v>20</v>
      </c>
      <c r="G250" s="218">
        <f>IF(NT_D!J29&lt;&gt;"",NT_D!J29,"")</f>
      </c>
      <c r="H250" s="191">
        <f t="shared" si="18"/>
        <v>0</v>
      </c>
      <c r="I250" s="190">
        <f t="shared" si="19"/>
        <v>0</v>
      </c>
      <c r="J250" s="215">
        <f>NT_D!K29</f>
        <v>0</v>
      </c>
      <c r="K250" s="192">
        <f>NT_D!L29</f>
        <v>0</v>
      </c>
      <c r="L250" s="60"/>
      <c r="M250" s="62"/>
      <c r="N250" s="62"/>
      <c r="O250" s="62"/>
      <c r="P250" s="62"/>
      <c r="Q250" s="62"/>
      <c r="R250" s="62"/>
      <c r="S250" s="62"/>
      <c r="T250" s="62"/>
      <c r="U250" s="62"/>
      <c r="V250" s="62"/>
      <c r="W250" s="62"/>
      <c r="X250" s="61"/>
    </row>
    <row r="251" spans="4:24" ht="12.75">
      <c r="D251" s="189" t="s">
        <v>1093</v>
      </c>
      <c r="E251" s="190">
        <v>5</v>
      </c>
      <c r="F251" s="218">
        <f>NT_D!I30</f>
        <v>21</v>
      </c>
      <c r="G251" s="218">
        <f>IF(NT_D!J30&lt;&gt;"",NT_D!J30,"")</f>
      </c>
      <c r="H251" s="191">
        <f t="shared" si="18"/>
        <v>0</v>
      </c>
      <c r="I251" s="190">
        <f t="shared" si="19"/>
        <v>0</v>
      </c>
      <c r="J251" s="215">
        <f>NT_D!K30</f>
        <v>0</v>
      </c>
      <c r="K251" s="192">
        <f>NT_D!L30</f>
        <v>0</v>
      </c>
      <c r="L251" s="60"/>
      <c r="M251" s="62"/>
      <c r="N251" s="62"/>
      <c r="O251" s="62"/>
      <c r="P251" s="62"/>
      <c r="Q251" s="62"/>
      <c r="R251" s="62"/>
      <c r="S251" s="62"/>
      <c r="T251" s="62"/>
      <c r="U251" s="62"/>
      <c r="V251" s="62"/>
      <c r="W251" s="62"/>
      <c r="X251" s="61"/>
    </row>
    <row r="252" spans="4:24" ht="12.75">
      <c r="D252" s="189" t="s">
        <v>1093</v>
      </c>
      <c r="E252" s="190">
        <v>5</v>
      </c>
      <c r="F252" s="218">
        <f>NT_D!I31</f>
        <v>22</v>
      </c>
      <c r="G252" s="218">
        <f>IF(NT_D!J31&lt;&gt;"",NT_D!J31,"")</f>
      </c>
      <c r="H252" s="191">
        <f t="shared" si="18"/>
        <v>0</v>
      </c>
      <c r="I252" s="190">
        <f t="shared" si="19"/>
        <v>0</v>
      </c>
      <c r="J252" s="215">
        <f>NT_D!K31</f>
        <v>0</v>
      </c>
      <c r="K252" s="192">
        <f>NT_D!L31</f>
        <v>0</v>
      </c>
      <c r="L252" s="60"/>
      <c r="M252" s="62"/>
      <c r="N252" s="62"/>
      <c r="O252" s="62"/>
      <c r="P252" s="62"/>
      <c r="Q252" s="62"/>
      <c r="R252" s="62"/>
      <c r="S252" s="62"/>
      <c r="T252" s="62"/>
      <c r="U252" s="62"/>
      <c r="V252" s="62"/>
      <c r="W252" s="62"/>
      <c r="X252" s="61"/>
    </row>
    <row r="253" spans="4:24" ht="12.75">
      <c r="D253" s="189" t="s">
        <v>1093</v>
      </c>
      <c r="E253" s="190">
        <v>5</v>
      </c>
      <c r="F253" s="218">
        <f>NT_D!I32</f>
        <v>23</v>
      </c>
      <c r="G253" s="218">
        <f>IF(NT_D!J32&lt;&gt;"",NT_D!J32,"")</f>
      </c>
      <c r="H253" s="191">
        <f t="shared" si="18"/>
        <v>0</v>
      </c>
      <c r="I253" s="190">
        <f t="shared" si="19"/>
        <v>0</v>
      </c>
      <c r="J253" s="215">
        <f>NT_D!K32</f>
        <v>0</v>
      </c>
      <c r="K253" s="192">
        <f>NT_D!L32</f>
        <v>0</v>
      </c>
      <c r="L253" s="60"/>
      <c r="M253" s="62"/>
      <c r="N253" s="62"/>
      <c r="O253" s="62"/>
      <c r="P253" s="62"/>
      <c r="Q253" s="62"/>
      <c r="R253" s="62"/>
      <c r="S253" s="62"/>
      <c r="T253" s="62"/>
      <c r="U253" s="62"/>
      <c r="V253" s="62"/>
      <c r="W253" s="62"/>
      <c r="X253" s="61"/>
    </row>
    <row r="254" spans="4:24" ht="12.75">
      <c r="D254" s="189" t="s">
        <v>1093</v>
      </c>
      <c r="E254" s="190">
        <v>5</v>
      </c>
      <c r="F254" s="218">
        <f>NT_D!I33</f>
        <v>24</v>
      </c>
      <c r="G254" s="218">
        <f>IF(NT_D!J33&lt;&gt;"",NT_D!J33,"")</f>
      </c>
      <c r="H254" s="191">
        <f t="shared" si="18"/>
        <v>0</v>
      </c>
      <c r="I254" s="190">
        <f t="shared" si="19"/>
        <v>0</v>
      </c>
      <c r="J254" s="215">
        <f>NT_D!K33</f>
        <v>0</v>
      </c>
      <c r="K254" s="192">
        <f>NT_D!L33</f>
        <v>0</v>
      </c>
      <c r="L254" s="60"/>
      <c r="M254" s="62"/>
      <c r="N254" s="62"/>
      <c r="O254" s="62"/>
      <c r="P254" s="62"/>
      <c r="Q254" s="62"/>
      <c r="R254" s="62"/>
      <c r="S254" s="62"/>
      <c r="T254" s="62"/>
      <c r="U254" s="62"/>
      <c r="V254" s="62"/>
      <c r="W254" s="62"/>
      <c r="X254" s="61"/>
    </row>
    <row r="255" spans="4:24" ht="12.75">
      <c r="D255" s="189" t="s">
        <v>1093</v>
      </c>
      <c r="E255" s="190">
        <v>5</v>
      </c>
      <c r="F255" s="218">
        <f>NT_D!I34</f>
        <v>25</v>
      </c>
      <c r="G255" s="218">
        <f>IF(NT_D!J34&lt;&gt;"",NT_D!J34,"")</f>
      </c>
      <c r="H255" s="191">
        <f t="shared" si="18"/>
        <v>0</v>
      </c>
      <c r="I255" s="190">
        <f t="shared" si="19"/>
        <v>0</v>
      </c>
      <c r="J255" s="215">
        <f>NT_D!K34</f>
        <v>0</v>
      </c>
      <c r="K255" s="192">
        <f>NT_D!L34</f>
        <v>0</v>
      </c>
      <c r="L255" s="60"/>
      <c r="M255" s="62"/>
      <c r="N255" s="62"/>
      <c r="O255" s="62"/>
      <c r="P255" s="62"/>
      <c r="Q255" s="62"/>
      <c r="R255" s="62"/>
      <c r="S255" s="62"/>
      <c r="T255" s="62"/>
      <c r="U255" s="62"/>
      <c r="V255" s="62"/>
      <c r="W255" s="62"/>
      <c r="X255" s="61"/>
    </row>
    <row r="256" spans="4:24" ht="12.75">
      <c r="D256" s="189" t="s">
        <v>1093</v>
      </c>
      <c r="E256" s="190">
        <v>5</v>
      </c>
      <c r="F256" s="218">
        <f>NT_D!I35</f>
        <v>26</v>
      </c>
      <c r="G256" s="218">
        <f>IF(NT_D!J35&lt;&gt;"",NT_D!J35,"")</f>
      </c>
      <c r="H256" s="191">
        <f t="shared" si="18"/>
        <v>0</v>
      </c>
      <c r="I256" s="190">
        <f t="shared" si="19"/>
        <v>0</v>
      </c>
      <c r="J256" s="215">
        <f>NT_D!K35</f>
        <v>0</v>
      </c>
      <c r="K256" s="192">
        <f>NT_D!L35</f>
        <v>0</v>
      </c>
      <c r="L256" s="60"/>
      <c r="M256" s="62"/>
      <c r="N256" s="62"/>
      <c r="O256" s="62"/>
      <c r="P256" s="62"/>
      <c r="Q256" s="62"/>
      <c r="R256" s="62"/>
      <c r="S256" s="62"/>
      <c r="T256" s="62"/>
      <c r="U256" s="62"/>
      <c r="V256" s="62"/>
      <c r="W256" s="62"/>
      <c r="X256" s="61"/>
    </row>
    <row r="257" spans="4:24" ht="12.75">
      <c r="D257" s="189" t="s">
        <v>1093</v>
      </c>
      <c r="E257" s="190">
        <v>5</v>
      </c>
      <c r="F257" s="218">
        <f>NT_D!I37</f>
        <v>27</v>
      </c>
      <c r="G257" s="218">
        <f>IF(NT_D!J37&lt;&gt;"",NT_D!J37,"")</f>
      </c>
      <c r="H257" s="191">
        <f t="shared" si="18"/>
        <v>0</v>
      </c>
      <c r="I257" s="190">
        <f t="shared" si="19"/>
        <v>0</v>
      </c>
      <c r="J257" s="215">
        <f>NT_D!K37</f>
        <v>0</v>
      </c>
      <c r="K257" s="192">
        <f>NT_D!L37</f>
        <v>0</v>
      </c>
      <c r="L257" s="60"/>
      <c r="M257" s="62"/>
      <c r="N257" s="62"/>
      <c r="O257" s="62"/>
      <c r="P257" s="62"/>
      <c r="Q257" s="62"/>
      <c r="R257" s="62"/>
      <c r="S257" s="62"/>
      <c r="T257" s="62"/>
      <c r="U257" s="62"/>
      <c r="V257" s="62"/>
      <c r="W257" s="62"/>
      <c r="X257" s="61"/>
    </row>
    <row r="258" spans="4:24" ht="12.75">
      <c r="D258" s="189" t="s">
        <v>1093</v>
      </c>
      <c r="E258" s="190">
        <v>5</v>
      </c>
      <c r="F258" s="218">
        <f>NT_D!I38</f>
        <v>28</v>
      </c>
      <c r="G258" s="218">
        <f>IF(NT_D!J38&lt;&gt;"",NT_D!J38,"")</f>
      </c>
      <c r="H258" s="191">
        <f t="shared" si="18"/>
        <v>0</v>
      </c>
      <c r="I258" s="190">
        <f t="shared" si="19"/>
        <v>0</v>
      </c>
      <c r="J258" s="215">
        <f>NT_D!K38</f>
        <v>0</v>
      </c>
      <c r="K258" s="192">
        <f>NT_D!L38</f>
        <v>0</v>
      </c>
      <c r="L258" s="60"/>
      <c r="M258" s="62"/>
      <c r="N258" s="62"/>
      <c r="O258" s="62"/>
      <c r="P258" s="62"/>
      <c r="Q258" s="62"/>
      <c r="R258" s="62"/>
      <c r="S258" s="62"/>
      <c r="T258" s="62"/>
      <c r="U258" s="62"/>
      <c r="V258" s="62"/>
      <c r="W258" s="62"/>
      <c r="X258" s="61"/>
    </row>
    <row r="259" spans="4:24" ht="12.75">
      <c r="D259" s="189" t="s">
        <v>1093</v>
      </c>
      <c r="E259" s="190">
        <v>5</v>
      </c>
      <c r="F259" s="218">
        <f>NT_D!I39</f>
        <v>29</v>
      </c>
      <c r="G259" s="218">
        <f>IF(NT_D!J39&lt;&gt;"",NT_D!J39,"")</f>
      </c>
      <c r="H259" s="191">
        <f t="shared" si="18"/>
        <v>0</v>
      </c>
      <c r="I259" s="190">
        <f t="shared" si="19"/>
        <v>0</v>
      </c>
      <c r="J259" s="215">
        <f>NT_D!K39</f>
        <v>0</v>
      </c>
      <c r="K259" s="192">
        <f>NT_D!L39</f>
        <v>0</v>
      </c>
      <c r="L259" s="60"/>
      <c r="M259" s="62"/>
      <c r="N259" s="62"/>
      <c r="O259" s="62"/>
      <c r="P259" s="62"/>
      <c r="Q259" s="62"/>
      <c r="R259" s="62"/>
      <c r="S259" s="62"/>
      <c r="T259" s="62"/>
      <c r="U259" s="62"/>
      <c r="V259" s="62"/>
      <c r="W259" s="62"/>
      <c r="X259" s="61"/>
    </row>
    <row r="260" spans="4:24" ht="12.75">
      <c r="D260" s="189" t="s">
        <v>1093</v>
      </c>
      <c r="E260" s="190">
        <v>5</v>
      </c>
      <c r="F260" s="218">
        <f>NT_D!I40</f>
        <v>30</v>
      </c>
      <c r="G260" s="218">
        <f>IF(NT_D!J40&lt;&gt;"",NT_D!J40,"")</f>
      </c>
      <c r="H260" s="191">
        <f t="shared" si="18"/>
        <v>0</v>
      </c>
      <c r="I260" s="190">
        <f t="shared" si="19"/>
        <v>0</v>
      </c>
      <c r="J260" s="215">
        <f>NT_D!K40</f>
        <v>0</v>
      </c>
      <c r="K260" s="192">
        <f>NT_D!L40</f>
        <v>0</v>
      </c>
      <c r="L260" s="60"/>
      <c r="M260" s="62"/>
      <c r="N260" s="62"/>
      <c r="O260" s="62"/>
      <c r="P260" s="62"/>
      <c r="Q260" s="62"/>
      <c r="R260" s="62"/>
      <c r="S260" s="62"/>
      <c r="T260" s="62"/>
      <c r="U260" s="62"/>
      <c r="V260" s="62"/>
      <c r="W260" s="62"/>
      <c r="X260" s="61"/>
    </row>
    <row r="261" spans="4:24" ht="12.75">
      <c r="D261" s="189" t="s">
        <v>1093</v>
      </c>
      <c r="E261" s="190">
        <v>5</v>
      </c>
      <c r="F261" s="218">
        <f>NT_D!I41</f>
        <v>31</v>
      </c>
      <c r="G261" s="218">
        <f>IF(NT_D!J41&lt;&gt;"",NT_D!J41,"")</f>
      </c>
      <c r="H261" s="191">
        <f t="shared" si="18"/>
        <v>0</v>
      </c>
      <c r="I261" s="190">
        <f t="shared" si="19"/>
        <v>0</v>
      </c>
      <c r="J261" s="215">
        <f>NT_D!K41</f>
        <v>0</v>
      </c>
      <c r="K261" s="192">
        <f>NT_D!L41</f>
        <v>0</v>
      </c>
      <c r="L261" s="60"/>
      <c r="M261" s="62"/>
      <c r="N261" s="62"/>
      <c r="O261" s="62"/>
      <c r="P261" s="62"/>
      <c r="Q261" s="62"/>
      <c r="R261" s="62"/>
      <c r="S261" s="62"/>
      <c r="T261" s="62"/>
      <c r="U261" s="62"/>
      <c r="V261" s="62"/>
      <c r="W261" s="62"/>
      <c r="X261" s="61"/>
    </row>
    <row r="262" spans="4:24" ht="12.75">
      <c r="D262" s="189" t="s">
        <v>1093</v>
      </c>
      <c r="E262" s="190">
        <v>5</v>
      </c>
      <c r="F262" s="218">
        <f>NT_D!I42</f>
        <v>32</v>
      </c>
      <c r="G262" s="218">
        <f>IF(NT_D!J42&lt;&gt;"",NT_D!J42,"")</f>
      </c>
      <c r="H262" s="191">
        <f t="shared" si="18"/>
        <v>0</v>
      </c>
      <c r="I262" s="190">
        <f t="shared" si="19"/>
        <v>0</v>
      </c>
      <c r="J262" s="215">
        <f>NT_D!K42</f>
        <v>0</v>
      </c>
      <c r="K262" s="192">
        <f>NT_D!L42</f>
        <v>0</v>
      </c>
      <c r="L262" s="60"/>
      <c r="M262" s="62"/>
      <c r="N262" s="62"/>
      <c r="O262" s="62"/>
      <c r="P262" s="62"/>
      <c r="Q262" s="62"/>
      <c r="R262" s="62"/>
      <c r="S262" s="62"/>
      <c r="T262" s="62"/>
      <c r="U262" s="62"/>
      <c r="V262" s="62"/>
      <c r="W262" s="62"/>
      <c r="X262" s="61"/>
    </row>
    <row r="263" spans="4:24" ht="12.75">
      <c r="D263" s="189" t="s">
        <v>1093</v>
      </c>
      <c r="E263" s="190">
        <v>5</v>
      </c>
      <c r="F263" s="218">
        <f>NT_D!I44</f>
        <v>33</v>
      </c>
      <c r="G263" s="218">
        <f>IF(NT_D!J44&lt;&gt;"",NT_D!J44,"")</f>
      </c>
      <c r="H263" s="191">
        <f t="shared" si="18"/>
        <v>0</v>
      </c>
      <c r="I263" s="190">
        <f t="shared" si="19"/>
        <v>0</v>
      </c>
      <c r="J263" s="215">
        <f>NT_D!K44</f>
        <v>0</v>
      </c>
      <c r="K263" s="192">
        <f>NT_D!L44</f>
        <v>0</v>
      </c>
      <c r="L263" s="60"/>
      <c r="M263" s="62"/>
      <c r="N263" s="62"/>
      <c r="O263" s="62"/>
      <c r="P263" s="62"/>
      <c r="Q263" s="62"/>
      <c r="R263" s="62"/>
      <c r="S263" s="62"/>
      <c r="T263" s="62"/>
      <c r="U263" s="62"/>
      <c r="V263" s="62"/>
      <c r="W263" s="62"/>
      <c r="X263" s="61"/>
    </row>
    <row r="264" spans="4:24" ht="12.75">
      <c r="D264" s="189" t="s">
        <v>1093</v>
      </c>
      <c r="E264" s="190">
        <v>5</v>
      </c>
      <c r="F264" s="218">
        <f>NT_D!I45</f>
        <v>34</v>
      </c>
      <c r="G264" s="218">
        <f>IF(NT_D!J45&lt;&gt;"",NT_D!J45,"")</f>
      </c>
      <c r="H264" s="191">
        <f t="shared" si="18"/>
        <v>0</v>
      </c>
      <c r="I264" s="190">
        <f t="shared" si="19"/>
        <v>0</v>
      </c>
      <c r="J264" s="215">
        <f>NT_D!K45</f>
        <v>0</v>
      </c>
      <c r="K264" s="192">
        <f>NT_D!L45</f>
        <v>0</v>
      </c>
      <c r="L264" s="60"/>
      <c r="M264" s="62"/>
      <c r="N264" s="62"/>
      <c r="O264" s="62"/>
      <c r="P264" s="62"/>
      <c r="Q264" s="62"/>
      <c r="R264" s="62"/>
      <c r="S264" s="62"/>
      <c r="T264" s="62"/>
      <c r="U264" s="62"/>
      <c r="V264" s="62"/>
      <c r="W264" s="62"/>
      <c r="X264" s="61"/>
    </row>
    <row r="265" spans="4:24" ht="12.75">
      <c r="D265" s="189" t="s">
        <v>1093</v>
      </c>
      <c r="E265" s="190">
        <v>5</v>
      </c>
      <c r="F265" s="218">
        <f>NT_D!I46</f>
        <v>35</v>
      </c>
      <c r="G265" s="218">
        <f>IF(NT_D!J46&lt;&gt;"",NT_D!J46,"")</f>
      </c>
      <c r="H265" s="191">
        <f t="shared" si="18"/>
        <v>0</v>
      </c>
      <c r="I265" s="190">
        <f t="shared" si="19"/>
        <v>0</v>
      </c>
      <c r="J265" s="215">
        <f>NT_D!K46</f>
        <v>0</v>
      </c>
      <c r="K265" s="192">
        <f>NT_D!L46</f>
        <v>0</v>
      </c>
      <c r="L265" s="60"/>
      <c r="M265" s="62"/>
      <c r="N265" s="62"/>
      <c r="O265" s="62"/>
      <c r="P265" s="62"/>
      <c r="Q265" s="62"/>
      <c r="R265" s="62"/>
      <c r="S265" s="62"/>
      <c r="T265" s="62"/>
      <c r="U265" s="62"/>
      <c r="V265" s="62"/>
      <c r="W265" s="62"/>
      <c r="X265" s="61"/>
    </row>
    <row r="266" spans="4:24" ht="12.75">
      <c r="D266" s="189" t="s">
        <v>1093</v>
      </c>
      <c r="E266" s="190">
        <v>5</v>
      </c>
      <c r="F266" s="218">
        <f>NT_D!I47</f>
        <v>36</v>
      </c>
      <c r="G266" s="218">
        <f>IF(NT_D!J47&lt;&gt;"",NT_D!J47,"")</f>
      </c>
      <c r="H266" s="191">
        <f t="shared" si="18"/>
        <v>0</v>
      </c>
      <c r="I266" s="190">
        <f t="shared" si="19"/>
        <v>0</v>
      </c>
      <c r="J266" s="215">
        <f>NT_D!K47</f>
        <v>0</v>
      </c>
      <c r="K266" s="192">
        <f>NT_D!L47</f>
        <v>0</v>
      </c>
      <c r="L266" s="60"/>
      <c r="M266" s="62"/>
      <c r="N266" s="62"/>
      <c r="O266" s="62"/>
      <c r="P266" s="62"/>
      <c r="Q266" s="62"/>
      <c r="R266" s="62"/>
      <c r="S266" s="62"/>
      <c r="T266" s="62"/>
      <c r="U266" s="62"/>
      <c r="V266" s="62"/>
      <c r="W266" s="62"/>
      <c r="X266" s="61"/>
    </row>
    <row r="267" spans="4:24" ht="12.75">
      <c r="D267" s="189" t="s">
        <v>1093</v>
      </c>
      <c r="E267" s="190">
        <v>5</v>
      </c>
      <c r="F267" s="218">
        <f>NT_D!I48</f>
        <v>37</v>
      </c>
      <c r="G267" s="218">
        <f>IF(NT_D!J48&lt;&gt;"",NT_D!J48,"")</f>
      </c>
      <c r="H267" s="191">
        <f t="shared" si="18"/>
        <v>0</v>
      </c>
      <c r="I267" s="190">
        <f t="shared" si="19"/>
        <v>0</v>
      </c>
      <c r="J267" s="215">
        <f>NT_D!K48</f>
        <v>0</v>
      </c>
      <c r="K267" s="192">
        <f>NT_D!L48</f>
        <v>0</v>
      </c>
      <c r="L267" s="60"/>
      <c r="M267" s="62"/>
      <c r="N267" s="62"/>
      <c r="O267" s="62"/>
      <c r="P267" s="62"/>
      <c r="Q267" s="62"/>
      <c r="R267" s="62"/>
      <c r="S267" s="62"/>
      <c r="T267" s="62"/>
      <c r="U267" s="62"/>
      <c r="V267" s="62"/>
      <c r="W267" s="62"/>
      <c r="X267" s="61"/>
    </row>
    <row r="268" spans="4:24" ht="12.75">
      <c r="D268" s="189" t="s">
        <v>1093</v>
      </c>
      <c r="E268" s="190">
        <v>5</v>
      </c>
      <c r="F268" s="218">
        <f>NT_D!I49</f>
        <v>38</v>
      </c>
      <c r="G268" s="218">
        <f>IF(NT_D!J49&lt;&gt;"",NT_D!J49,"")</f>
      </c>
      <c r="H268" s="191">
        <f t="shared" si="18"/>
        <v>0</v>
      </c>
      <c r="I268" s="190">
        <f t="shared" si="19"/>
        <v>0</v>
      </c>
      <c r="J268" s="215">
        <f>NT_D!K49</f>
        <v>0</v>
      </c>
      <c r="K268" s="192">
        <f>NT_D!L49</f>
        <v>0</v>
      </c>
      <c r="L268" s="60"/>
      <c r="M268" s="62"/>
      <c r="N268" s="62"/>
      <c r="O268" s="62"/>
      <c r="P268" s="62"/>
      <c r="Q268" s="62"/>
      <c r="R268" s="62"/>
      <c r="S268" s="62"/>
      <c r="T268" s="62"/>
      <c r="U268" s="62"/>
      <c r="V268" s="62"/>
      <c r="W268" s="62"/>
      <c r="X268" s="61"/>
    </row>
    <row r="269" spans="4:24" ht="12.75">
      <c r="D269" s="189" t="s">
        <v>1093</v>
      </c>
      <c r="E269" s="190">
        <v>5</v>
      </c>
      <c r="F269" s="218">
        <f>NT_D!I50</f>
        <v>39</v>
      </c>
      <c r="G269" s="218">
        <f>IF(NT_D!J50&lt;&gt;"",NT_D!J50,"")</f>
      </c>
      <c r="H269" s="191">
        <f t="shared" si="18"/>
        <v>0</v>
      </c>
      <c r="I269" s="190">
        <f t="shared" si="19"/>
        <v>0</v>
      </c>
      <c r="J269" s="215">
        <f>NT_D!K50</f>
        <v>0</v>
      </c>
      <c r="K269" s="192">
        <f>NT_D!L50</f>
        <v>0</v>
      </c>
      <c r="L269" s="60"/>
      <c r="M269" s="62"/>
      <c r="N269" s="62"/>
      <c r="O269" s="62"/>
      <c r="P269" s="62"/>
      <c r="Q269" s="62"/>
      <c r="R269" s="62"/>
      <c r="S269" s="62"/>
      <c r="T269" s="62"/>
      <c r="U269" s="62"/>
      <c r="V269" s="62"/>
      <c r="W269" s="62"/>
      <c r="X269" s="61"/>
    </row>
    <row r="270" spans="4:24" ht="12.75">
      <c r="D270" s="189" t="s">
        <v>1093</v>
      </c>
      <c r="E270" s="190">
        <v>5</v>
      </c>
      <c r="F270" s="218">
        <f>NT_D!I51</f>
        <v>40</v>
      </c>
      <c r="G270" s="218">
        <f>IF(NT_D!J51&lt;&gt;"",NT_D!J51,"")</f>
      </c>
      <c r="H270" s="191">
        <f t="shared" si="18"/>
        <v>0</v>
      </c>
      <c r="I270" s="190">
        <f t="shared" si="19"/>
        <v>0</v>
      </c>
      <c r="J270" s="215">
        <f>NT_D!K51</f>
        <v>0</v>
      </c>
      <c r="K270" s="192">
        <f>NT_D!L51</f>
        <v>0</v>
      </c>
      <c r="L270" s="60"/>
      <c r="M270" s="62"/>
      <c r="N270" s="62"/>
      <c r="O270" s="62"/>
      <c r="P270" s="62"/>
      <c r="Q270" s="62"/>
      <c r="R270" s="62"/>
      <c r="S270" s="62"/>
      <c r="T270" s="62"/>
      <c r="U270" s="62"/>
      <c r="V270" s="62"/>
      <c r="W270" s="62"/>
      <c r="X270" s="61"/>
    </row>
    <row r="271" spans="4:24" ht="12.75">
      <c r="D271" s="189" t="s">
        <v>1093</v>
      </c>
      <c r="E271" s="190">
        <v>5</v>
      </c>
      <c r="F271" s="218">
        <f>NT_D!I52</f>
        <v>41</v>
      </c>
      <c r="G271" s="218">
        <f>IF(NT_D!J52&lt;&gt;"",NT_D!J52,"")</f>
      </c>
      <c r="H271" s="191">
        <f t="shared" si="18"/>
        <v>0</v>
      </c>
      <c r="I271" s="190">
        <f t="shared" si="19"/>
        <v>0</v>
      </c>
      <c r="J271" s="215">
        <f>NT_D!K52</f>
        <v>0</v>
      </c>
      <c r="K271" s="192">
        <f>NT_D!L52</f>
        <v>0</v>
      </c>
      <c r="L271" s="60"/>
      <c r="M271" s="62"/>
      <c r="N271" s="62"/>
      <c r="O271" s="62"/>
      <c r="P271" s="62"/>
      <c r="Q271" s="62"/>
      <c r="R271" s="62"/>
      <c r="S271" s="62"/>
      <c r="T271" s="62"/>
      <c r="U271" s="62"/>
      <c r="V271" s="62"/>
      <c r="W271" s="62"/>
      <c r="X271" s="61"/>
    </row>
    <row r="272" spans="4:24" ht="12.75">
      <c r="D272" s="189" t="s">
        <v>1093</v>
      </c>
      <c r="E272" s="190">
        <v>5</v>
      </c>
      <c r="F272" s="218">
        <f>NT_D!I53</f>
        <v>42</v>
      </c>
      <c r="G272" s="218">
        <f>IF(NT_D!J53&lt;&gt;"",NT_D!J53,"")</f>
      </c>
      <c r="H272" s="191">
        <f t="shared" si="18"/>
        <v>0</v>
      </c>
      <c r="I272" s="190">
        <f t="shared" si="19"/>
        <v>0</v>
      </c>
      <c r="J272" s="215">
        <f>NT_D!K53</f>
        <v>0</v>
      </c>
      <c r="K272" s="192">
        <f>NT_D!L53</f>
        <v>0</v>
      </c>
      <c r="L272" s="60"/>
      <c r="M272" s="62"/>
      <c r="N272" s="62"/>
      <c r="O272" s="62"/>
      <c r="P272" s="62"/>
      <c r="Q272" s="62"/>
      <c r="R272" s="62"/>
      <c r="S272" s="62"/>
      <c r="T272" s="62"/>
      <c r="U272" s="62"/>
      <c r="V272" s="62"/>
      <c r="W272" s="62"/>
      <c r="X272" s="61"/>
    </row>
    <row r="273" spans="4:24" ht="12.75">
      <c r="D273" s="189" t="s">
        <v>1093</v>
      </c>
      <c r="E273" s="190">
        <v>5</v>
      </c>
      <c r="F273" s="218">
        <f>NT_D!I54</f>
        <v>43</v>
      </c>
      <c r="G273" s="218">
        <f>IF(NT_D!J54&lt;&gt;"",NT_D!J54,"")</f>
      </c>
      <c r="H273" s="191">
        <f t="shared" si="18"/>
        <v>0</v>
      </c>
      <c r="I273" s="190">
        <f t="shared" si="19"/>
        <v>0</v>
      </c>
      <c r="J273" s="215">
        <f>NT_D!K54</f>
        <v>0</v>
      </c>
      <c r="K273" s="192">
        <f>NT_D!L54</f>
        <v>0</v>
      </c>
      <c r="L273" s="60"/>
      <c r="M273" s="62"/>
      <c r="N273" s="62"/>
      <c r="O273" s="62"/>
      <c r="P273" s="62"/>
      <c r="Q273" s="62"/>
      <c r="R273" s="62"/>
      <c r="S273" s="62"/>
      <c r="T273" s="62"/>
      <c r="U273" s="62"/>
      <c r="V273" s="62"/>
      <c r="W273" s="62"/>
      <c r="X273" s="61"/>
    </row>
    <row r="274" spans="4:24" ht="12.75">
      <c r="D274" s="193" t="s">
        <v>1093</v>
      </c>
      <c r="E274" s="194">
        <v>5</v>
      </c>
      <c r="F274" s="219">
        <f>NT_D!I55</f>
        <v>44</v>
      </c>
      <c r="G274" s="219">
        <f>IF(NT_D!J55&lt;&gt;"",NT_D!J55,"")</f>
      </c>
      <c r="H274" s="195">
        <f>J274/100*F274+2*K274/100*F274</f>
        <v>0</v>
      </c>
      <c r="I274" s="194">
        <f>ABS(ROUND(J274,0)-J274)+ABS(ROUND(K274,0)-K274)</f>
        <v>0</v>
      </c>
      <c r="J274" s="216">
        <f>NT_D!K55</f>
        <v>0</v>
      </c>
      <c r="K274" s="196">
        <f>NT_D!L55</f>
        <v>0</v>
      </c>
      <c r="L274" s="60"/>
      <c r="M274" s="62"/>
      <c r="N274" s="62"/>
      <c r="O274" s="62"/>
      <c r="P274" s="62"/>
      <c r="Q274" s="62"/>
      <c r="R274" s="62"/>
      <c r="S274" s="62"/>
      <c r="T274" s="62"/>
      <c r="U274" s="62"/>
      <c r="V274" s="62"/>
      <c r="W274" s="62"/>
      <c r="X274" s="61"/>
    </row>
    <row r="275" spans="4:24" ht="12.75">
      <c r="D275" s="199" t="s">
        <v>306</v>
      </c>
      <c r="E275" s="200">
        <v>6</v>
      </c>
      <c r="F275" s="220">
        <f>PK!D10</f>
        <v>1</v>
      </c>
      <c r="G275" s="220">
        <f>IF(PK!E10&lt;&gt;"",PK!E10,"")</f>
      </c>
      <c r="H275" s="201">
        <f>J275/100*F275+2*K275/100*F275+3*L275/100*F275+4*M275/100*F275+5*N275/100*F275+6*O275/100*F275+7*P275/100*F275+8*Q275/100*F275</f>
        <v>11167581.04</v>
      </c>
      <c r="I275" s="200">
        <f>ABS(ROUND(J275,0)-J275)+ABS(ROUND(K275,0)-K275)</f>
        <v>0</v>
      </c>
      <c r="J275" s="202">
        <f>PK!F10</f>
        <v>474600000</v>
      </c>
      <c r="K275" s="223">
        <f>PK!G10</f>
        <v>0</v>
      </c>
      <c r="L275" s="223">
        <f>PK!H10</f>
        <v>0</v>
      </c>
      <c r="M275" s="223">
        <f>PK!I10</f>
        <v>-152714205</v>
      </c>
      <c r="N275" s="223">
        <f>PK!J10</f>
        <v>-103600924</v>
      </c>
      <c r="O275" s="223">
        <f>PK!K10</f>
        <v>1767184</v>
      </c>
      <c r="P275" s="223">
        <f>PK!L10</f>
        <v>0</v>
      </c>
      <c r="Q275" s="203">
        <f>PK!M10</f>
        <v>220052055</v>
      </c>
      <c r="R275" s="62"/>
      <c r="S275" s="62"/>
      <c r="T275" s="62"/>
      <c r="U275" s="62"/>
      <c r="V275" s="62"/>
      <c r="W275" s="62"/>
      <c r="X275" s="61"/>
    </row>
    <row r="276" spans="4:24" ht="12.75">
      <c r="D276" s="204" t="s">
        <v>306</v>
      </c>
      <c r="E276" s="205">
        <v>6</v>
      </c>
      <c r="F276" s="221">
        <f>PK!D11</f>
        <v>2</v>
      </c>
      <c r="G276" s="221">
        <f>IF(PK!E11&lt;&gt;"",PK!E11,"")</f>
      </c>
      <c r="H276" s="206">
        <f aca="true" t="shared" si="20" ref="H276:H291">J276/100*F276+2*K276/100*F276+3*L276/100*F276+4*M276/100*F276+5*N276/100*F276+6*O276/100*F276+7*P276/100*F276+8*Q276/100*F276</f>
        <v>0</v>
      </c>
      <c r="I276" s="205">
        <f>ABS(ROUND(J276,0)-J276)+ABS(ROUND(K276,0)-K276)</f>
        <v>0</v>
      </c>
      <c r="J276" s="207">
        <f>PK!F11</f>
        <v>0</v>
      </c>
      <c r="K276" s="224">
        <f>PK!G11</f>
        <v>0</v>
      </c>
      <c r="L276" s="224">
        <f>PK!H11</f>
        <v>0</v>
      </c>
      <c r="M276" s="224">
        <f>PK!I11</f>
        <v>0</v>
      </c>
      <c r="N276" s="224">
        <f>PK!J11</f>
        <v>0</v>
      </c>
      <c r="O276" s="224">
        <f>PK!K11</f>
        <v>0</v>
      </c>
      <c r="P276" s="224">
        <f>PK!L11</f>
        <v>0</v>
      </c>
      <c r="Q276" s="208">
        <f>PK!M11</f>
        <v>0</v>
      </c>
      <c r="R276" s="62"/>
      <c r="S276" s="62"/>
      <c r="T276" s="62"/>
      <c r="U276" s="62"/>
      <c r="V276" s="62"/>
      <c r="W276" s="62"/>
      <c r="X276" s="61"/>
    </row>
    <row r="277" spans="4:24" ht="12.75">
      <c r="D277" s="204" t="s">
        <v>306</v>
      </c>
      <c r="E277" s="205">
        <v>6</v>
      </c>
      <c r="F277" s="221">
        <f>PK!D12</f>
        <v>3</v>
      </c>
      <c r="G277" s="221">
        <f>IF(PK!E12&lt;&gt;"",PK!E12,"")</f>
      </c>
      <c r="H277" s="206">
        <f t="shared" si="20"/>
        <v>33502743.119999994</v>
      </c>
      <c r="I277" s="205">
        <f aca="true" t="shared" si="21" ref="I277:I291">ABS(ROUND(J277,0)-J277)+ABS(ROUND(K277,0)-K277)</f>
        <v>0</v>
      </c>
      <c r="J277" s="207">
        <f>PK!F12</f>
        <v>474600000</v>
      </c>
      <c r="K277" s="224">
        <f>PK!G12</f>
        <v>0</v>
      </c>
      <c r="L277" s="224">
        <f>PK!H12</f>
        <v>0</v>
      </c>
      <c r="M277" s="224">
        <f>PK!I12</f>
        <v>-152714205</v>
      </c>
      <c r="N277" s="224">
        <f>PK!J12</f>
        <v>-103600924</v>
      </c>
      <c r="O277" s="224">
        <f>PK!K12</f>
        <v>1767184</v>
      </c>
      <c r="P277" s="224">
        <f>PK!L12</f>
        <v>0</v>
      </c>
      <c r="Q277" s="208">
        <f>PK!M12</f>
        <v>220052055</v>
      </c>
      <c r="R277" s="62"/>
      <c r="S277" s="62"/>
      <c r="T277" s="62"/>
      <c r="U277" s="62"/>
      <c r="V277" s="62"/>
      <c r="W277" s="62"/>
      <c r="X277" s="61"/>
    </row>
    <row r="278" spans="4:24" ht="12.75">
      <c r="D278" s="204" t="s">
        <v>306</v>
      </c>
      <c r="E278" s="205">
        <v>6</v>
      </c>
      <c r="F278" s="221">
        <f>PK!D13</f>
        <v>4</v>
      </c>
      <c r="G278" s="221">
        <f>IF(PK!E13&lt;&gt;"",PK!E13,"")</f>
      </c>
      <c r="H278" s="206">
        <f t="shared" si="20"/>
        <v>0</v>
      </c>
      <c r="I278" s="205">
        <f t="shared" si="21"/>
        <v>0</v>
      </c>
      <c r="J278" s="207">
        <f>PK!F13</f>
        <v>0</v>
      </c>
      <c r="K278" s="224">
        <f>PK!G13</f>
        <v>0</v>
      </c>
      <c r="L278" s="224">
        <f>PK!H13</f>
        <v>0</v>
      </c>
      <c r="M278" s="224">
        <f>PK!I13</f>
        <v>0</v>
      </c>
      <c r="N278" s="224">
        <f>PK!J13</f>
        <v>0</v>
      </c>
      <c r="O278" s="224">
        <f>PK!K13</f>
        <v>0</v>
      </c>
      <c r="P278" s="224">
        <f>PK!L13</f>
        <v>0</v>
      </c>
      <c r="Q278" s="208">
        <f>PK!M13</f>
        <v>0</v>
      </c>
      <c r="R278" s="62"/>
      <c r="S278" s="62"/>
      <c r="T278" s="62"/>
      <c r="U278" s="62"/>
      <c r="V278" s="62"/>
      <c r="W278" s="62"/>
      <c r="X278" s="61"/>
    </row>
    <row r="279" spans="4:24" ht="12.75">
      <c r="D279" s="204" t="s">
        <v>306</v>
      </c>
      <c r="E279" s="205">
        <v>6</v>
      </c>
      <c r="F279" s="221">
        <f>PK!D14</f>
        <v>5</v>
      </c>
      <c r="G279" s="221">
        <f>IF(PK!E14&lt;&gt;"",PK!E14,"")</f>
      </c>
      <c r="H279" s="206">
        <f t="shared" si="20"/>
        <v>-128269.25</v>
      </c>
      <c r="I279" s="205">
        <f t="shared" si="21"/>
        <v>0</v>
      </c>
      <c r="J279" s="207">
        <f>PK!F14</f>
        <v>0</v>
      </c>
      <c r="K279" s="224">
        <f>PK!G14</f>
        <v>0</v>
      </c>
      <c r="L279" s="224">
        <f>PK!H14</f>
        <v>0</v>
      </c>
      <c r="M279" s="224">
        <f>PK!I14</f>
        <v>0</v>
      </c>
      <c r="N279" s="224">
        <f>PK!J14</f>
        <v>0</v>
      </c>
      <c r="O279" s="224">
        <f>PK!K14</f>
        <v>-183241.5</v>
      </c>
      <c r="P279" s="224">
        <f>PK!L14</f>
        <v>0</v>
      </c>
      <c r="Q279" s="208">
        <f>PK!M14</f>
        <v>-183242</v>
      </c>
      <c r="R279" s="62"/>
      <c r="S279" s="62"/>
      <c r="T279" s="62"/>
      <c r="U279" s="62"/>
      <c r="V279" s="62"/>
      <c r="W279" s="62"/>
      <c r="X279" s="61"/>
    </row>
    <row r="280" spans="4:24" ht="12.75">
      <c r="D280" s="204" t="s">
        <v>306</v>
      </c>
      <c r="E280" s="205">
        <v>6</v>
      </c>
      <c r="F280" s="221">
        <f>PK!D15</f>
        <v>6</v>
      </c>
      <c r="G280" s="221">
        <f>IF(PK!E15&lt;&gt;"",PK!E15,"")</f>
      </c>
      <c r="H280" s="206">
        <f t="shared" si="20"/>
        <v>0</v>
      </c>
      <c r="I280" s="205">
        <f t="shared" si="21"/>
        <v>0</v>
      </c>
      <c r="J280" s="207">
        <f>PK!F15</f>
        <v>0</v>
      </c>
      <c r="K280" s="224">
        <f>PK!G15</f>
        <v>0</v>
      </c>
      <c r="L280" s="224">
        <f>PK!H15</f>
        <v>0</v>
      </c>
      <c r="M280" s="224">
        <f>PK!I15</f>
        <v>0</v>
      </c>
      <c r="N280" s="224">
        <f>PK!J15</f>
        <v>0</v>
      </c>
      <c r="O280" s="224">
        <f>PK!K15</f>
        <v>0</v>
      </c>
      <c r="P280" s="224">
        <f>PK!L15</f>
        <v>0</v>
      </c>
      <c r="Q280" s="208">
        <f>PK!M15</f>
        <v>0</v>
      </c>
      <c r="R280" s="62"/>
      <c r="S280" s="62"/>
      <c r="T280" s="62"/>
      <c r="U280" s="62"/>
      <c r="V280" s="62"/>
      <c r="W280" s="62"/>
      <c r="X280" s="61"/>
    </row>
    <row r="281" spans="4:24" ht="12.75">
      <c r="D281" s="204" t="s">
        <v>306</v>
      </c>
      <c r="E281" s="205">
        <v>6</v>
      </c>
      <c r="F281" s="221">
        <f>PK!D16</f>
        <v>7</v>
      </c>
      <c r="G281" s="221">
        <f>IF(PK!E16&lt;&gt;"",PK!E16,"")</f>
      </c>
      <c r="H281" s="206">
        <f t="shared" si="20"/>
        <v>0</v>
      </c>
      <c r="I281" s="205">
        <f t="shared" si="21"/>
        <v>0</v>
      </c>
      <c r="J281" s="207">
        <f>PK!F16</f>
        <v>0</v>
      </c>
      <c r="K281" s="224">
        <f>PK!G16</f>
        <v>0</v>
      </c>
      <c r="L281" s="224">
        <f>PK!H16</f>
        <v>0</v>
      </c>
      <c r="M281" s="224">
        <f>PK!I16</f>
        <v>0</v>
      </c>
      <c r="N281" s="224">
        <f>PK!J16</f>
        <v>0</v>
      </c>
      <c r="O281" s="224">
        <f>PK!K16</f>
        <v>0</v>
      </c>
      <c r="P281" s="224">
        <f>PK!L16</f>
        <v>0</v>
      </c>
      <c r="Q281" s="208">
        <f>PK!M16</f>
        <v>0</v>
      </c>
      <c r="R281" s="62"/>
      <c r="S281" s="62"/>
      <c r="T281" s="62"/>
      <c r="U281" s="62"/>
      <c r="V281" s="62"/>
      <c r="W281" s="62"/>
      <c r="X281" s="61"/>
    </row>
    <row r="282" spans="4:24" ht="12.75">
      <c r="D282" s="204" t="s">
        <v>306</v>
      </c>
      <c r="E282" s="205">
        <v>6</v>
      </c>
      <c r="F282" s="221">
        <f>PK!D17</f>
        <v>8</v>
      </c>
      <c r="G282" s="221">
        <f>IF(PK!E17&lt;&gt;"",PK!E17,"")</f>
      </c>
      <c r="H282" s="206">
        <f t="shared" si="20"/>
        <v>-205230.8</v>
      </c>
      <c r="I282" s="205">
        <f t="shared" si="21"/>
        <v>0</v>
      </c>
      <c r="J282" s="207">
        <f>PK!F17</f>
        <v>0</v>
      </c>
      <c r="K282" s="224">
        <f>PK!G17</f>
        <v>0</v>
      </c>
      <c r="L282" s="224">
        <f>PK!H17</f>
        <v>0</v>
      </c>
      <c r="M282" s="224">
        <f>PK!I17</f>
        <v>0</v>
      </c>
      <c r="N282" s="224">
        <f>PK!J17</f>
        <v>0</v>
      </c>
      <c r="O282" s="224">
        <f>PK!K17</f>
        <v>-183241.5</v>
      </c>
      <c r="P282" s="224">
        <f>PK!L17</f>
        <v>0</v>
      </c>
      <c r="Q282" s="208">
        <f>PK!M17</f>
        <v>-183242</v>
      </c>
      <c r="R282" s="62"/>
      <c r="S282" s="62"/>
      <c r="T282" s="62"/>
      <c r="U282" s="62"/>
      <c r="V282" s="62"/>
      <c r="W282" s="62"/>
      <c r="X282" s="61"/>
    </row>
    <row r="283" spans="4:24" ht="12.75">
      <c r="D283" s="204" t="s">
        <v>306</v>
      </c>
      <c r="E283" s="205">
        <v>6</v>
      </c>
      <c r="F283" s="221">
        <f>PK!D18</f>
        <v>9</v>
      </c>
      <c r="G283" s="221">
        <f>IF(PK!E18&lt;&gt;"",PK!E18,"")</f>
      </c>
      <c r="H283" s="206">
        <f t="shared" si="20"/>
        <v>-28834018.2</v>
      </c>
      <c r="I283" s="205">
        <f t="shared" si="21"/>
        <v>0</v>
      </c>
      <c r="J283" s="207">
        <f>PK!F18</f>
        <v>0</v>
      </c>
      <c r="K283" s="224">
        <f>PK!G18</f>
        <v>0</v>
      </c>
      <c r="L283" s="224">
        <f>PK!H18</f>
        <v>0</v>
      </c>
      <c r="M283" s="224">
        <f>PK!I18</f>
        <v>0</v>
      </c>
      <c r="N283" s="224">
        <f>PK!J18</f>
        <v>-24644460</v>
      </c>
      <c r="O283" s="224">
        <f>PK!K18</f>
        <v>0</v>
      </c>
      <c r="P283" s="224">
        <f>PK!L18</f>
        <v>0</v>
      </c>
      <c r="Q283" s="208">
        <f>PK!M18</f>
        <v>-24644460</v>
      </c>
      <c r="R283" s="62"/>
      <c r="S283" s="62"/>
      <c r="T283" s="62"/>
      <c r="U283" s="62"/>
      <c r="V283" s="62"/>
      <c r="W283" s="62"/>
      <c r="X283" s="61"/>
    </row>
    <row r="284" spans="4:24" ht="12.75">
      <c r="D284" s="204" t="s">
        <v>306</v>
      </c>
      <c r="E284" s="205">
        <v>6</v>
      </c>
      <c r="F284" s="221">
        <f>PK!D19</f>
        <v>10</v>
      </c>
      <c r="G284" s="221">
        <f>IF(PK!E19&lt;&gt;"",PK!E19,"")</f>
      </c>
      <c r="H284" s="206">
        <f t="shared" si="20"/>
        <v>-32294336.5</v>
      </c>
      <c r="I284" s="205">
        <f t="shared" si="21"/>
        <v>0</v>
      </c>
      <c r="J284" s="207">
        <f>PK!F19</f>
        <v>0</v>
      </c>
      <c r="K284" s="224">
        <f>PK!G19</f>
        <v>0</v>
      </c>
      <c r="L284" s="224">
        <f>PK!H19</f>
        <v>0</v>
      </c>
      <c r="M284" s="224">
        <f>PK!I19</f>
        <v>0</v>
      </c>
      <c r="N284" s="224">
        <f>PK!J19</f>
        <v>-24644460</v>
      </c>
      <c r="O284" s="224">
        <f>PK!K19</f>
        <v>-183241.5</v>
      </c>
      <c r="P284" s="224">
        <f>PK!L19</f>
        <v>0</v>
      </c>
      <c r="Q284" s="208">
        <f>PK!M19</f>
        <v>-24827702</v>
      </c>
      <c r="R284" s="62"/>
      <c r="S284" s="62"/>
      <c r="T284" s="62"/>
      <c r="U284" s="62"/>
      <c r="V284" s="62"/>
      <c r="W284" s="62"/>
      <c r="X284" s="61"/>
    </row>
    <row r="285" spans="4:24" ht="12.75">
      <c r="D285" s="204" t="s">
        <v>306</v>
      </c>
      <c r="E285" s="205">
        <v>6</v>
      </c>
      <c r="F285" s="221">
        <f>PK!D20</f>
        <v>11</v>
      </c>
      <c r="G285" s="221">
        <f>IF(PK!E20&lt;&gt;"",PK!E20,"")</f>
      </c>
      <c r="H285" s="206">
        <f t="shared" si="20"/>
        <v>0</v>
      </c>
      <c r="I285" s="205">
        <f t="shared" si="21"/>
        <v>0</v>
      </c>
      <c r="J285" s="207">
        <f>PK!F20</f>
        <v>0</v>
      </c>
      <c r="K285" s="224">
        <f>PK!G20</f>
        <v>0</v>
      </c>
      <c r="L285" s="224">
        <f>PK!H20</f>
        <v>0</v>
      </c>
      <c r="M285" s="224">
        <f>PK!I20</f>
        <v>0</v>
      </c>
      <c r="N285" s="224">
        <f>PK!J20</f>
        <v>0</v>
      </c>
      <c r="O285" s="224">
        <f>PK!K20</f>
        <v>0</v>
      </c>
      <c r="P285" s="224">
        <f>PK!L20</f>
        <v>0</v>
      </c>
      <c r="Q285" s="208">
        <f>PK!M20</f>
        <v>0</v>
      </c>
      <c r="R285" s="62"/>
      <c r="S285" s="62"/>
      <c r="T285" s="62"/>
      <c r="U285" s="62"/>
      <c r="V285" s="62"/>
      <c r="W285" s="62"/>
      <c r="X285" s="61"/>
    </row>
    <row r="286" spans="4:24" ht="12.75">
      <c r="D286" s="204" t="s">
        <v>306</v>
      </c>
      <c r="E286" s="205">
        <v>6</v>
      </c>
      <c r="F286" s="221">
        <f>PK!D21</f>
        <v>12</v>
      </c>
      <c r="G286" s="221">
        <f>IF(PK!E21&lt;&gt;"",PK!E21,"")</f>
      </c>
      <c r="H286" s="206">
        <f t="shared" si="20"/>
        <v>0</v>
      </c>
      <c r="I286" s="205">
        <f t="shared" si="21"/>
        <v>0</v>
      </c>
      <c r="J286" s="207">
        <f>PK!F21</f>
        <v>0</v>
      </c>
      <c r="K286" s="224">
        <f>PK!G21</f>
        <v>0</v>
      </c>
      <c r="L286" s="224">
        <f>PK!H21</f>
        <v>0</v>
      </c>
      <c r="M286" s="224">
        <f>PK!I21</f>
        <v>0</v>
      </c>
      <c r="N286" s="224">
        <f>PK!J21</f>
        <v>0</v>
      </c>
      <c r="O286" s="224">
        <f>PK!K21</f>
        <v>0</v>
      </c>
      <c r="P286" s="224">
        <f>PK!L21</f>
        <v>0</v>
      </c>
      <c r="Q286" s="208">
        <f>PK!M21</f>
        <v>0</v>
      </c>
      <c r="R286" s="62"/>
      <c r="S286" s="62"/>
      <c r="T286" s="62"/>
      <c r="U286" s="62"/>
      <c r="V286" s="62"/>
      <c r="W286" s="62"/>
      <c r="X286" s="61"/>
    </row>
    <row r="287" spans="4:24" ht="12.75">
      <c r="D287" s="204" t="s">
        <v>306</v>
      </c>
      <c r="E287" s="205">
        <v>6</v>
      </c>
      <c r="F287" s="221">
        <f>PK!D22</f>
        <v>13</v>
      </c>
      <c r="G287" s="221">
        <f>IF(PK!E22&lt;&gt;"",PK!E22,"")</f>
      </c>
      <c r="H287" s="206">
        <f t="shared" si="20"/>
        <v>13468119.924999997</v>
      </c>
      <c r="I287" s="205">
        <f t="shared" si="21"/>
        <v>0</v>
      </c>
      <c r="J287" s="207">
        <f>PK!F22</f>
        <v>0</v>
      </c>
      <c r="K287" s="224">
        <f>PK!G22</f>
        <v>0</v>
      </c>
      <c r="L287" s="224">
        <f>PK!H22</f>
        <v>0</v>
      </c>
      <c r="M287" s="224">
        <f>PK!I22</f>
        <v>-103600925</v>
      </c>
      <c r="N287" s="224">
        <f>PK!J22</f>
        <v>103600924.5</v>
      </c>
      <c r="O287" s="224">
        <f>PK!K22</f>
        <v>0</v>
      </c>
      <c r="P287" s="224">
        <f>PK!L22</f>
        <v>0</v>
      </c>
      <c r="Q287" s="208">
        <f>PK!M22</f>
        <v>0</v>
      </c>
      <c r="R287" s="62"/>
      <c r="S287" s="62"/>
      <c r="T287" s="62"/>
      <c r="U287" s="62"/>
      <c r="V287" s="62"/>
      <c r="W287" s="62"/>
      <c r="X287" s="61"/>
    </row>
    <row r="288" spans="4:24" ht="12.75">
      <c r="D288" s="204" t="s">
        <v>306</v>
      </c>
      <c r="E288" s="205">
        <v>6</v>
      </c>
      <c r="F288" s="221">
        <f>PK!D23</f>
        <v>14</v>
      </c>
      <c r="G288" s="221">
        <f>IF(PK!E23&lt;&gt;"",PK!E23,"")</f>
      </c>
      <c r="H288" s="206">
        <f t="shared" si="20"/>
        <v>0</v>
      </c>
      <c r="I288" s="205">
        <f t="shared" si="21"/>
        <v>0</v>
      </c>
      <c r="J288" s="207">
        <f>PK!F23</f>
        <v>0</v>
      </c>
      <c r="K288" s="224">
        <f>PK!G23</f>
        <v>0</v>
      </c>
      <c r="L288" s="224">
        <f>PK!H23</f>
        <v>0</v>
      </c>
      <c r="M288" s="224">
        <f>PK!I23</f>
        <v>0</v>
      </c>
      <c r="N288" s="224">
        <f>PK!J23</f>
        <v>0</v>
      </c>
      <c r="O288" s="224">
        <f>PK!K23</f>
        <v>0</v>
      </c>
      <c r="P288" s="224">
        <f>PK!L23</f>
        <v>0</v>
      </c>
      <c r="Q288" s="208">
        <f>PK!M23</f>
        <v>0</v>
      </c>
      <c r="R288" s="62"/>
      <c r="S288" s="62"/>
      <c r="T288" s="62"/>
      <c r="U288" s="62"/>
      <c r="V288" s="62"/>
      <c r="W288" s="62"/>
      <c r="X288" s="61"/>
    </row>
    <row r="289" spans="4:24" ht="12.75">
      <c r="D289" s="204" t="s">
        <v>306</v>
      </c>
      <c r="E289" s="205">
        <v>6</v>
      </c>
      <c r="F289" s="221">
        <f>PK!D24</f>
        <v>15</v>
      </c>
      <c r="G289" s="221">
        <f>IF(PK!E24&lt;&gt;"",PK!E24,"")</f>
      </c>
      <c r="H289" s="206">
        <f t="shared" si="20"/>
        <v>0</v>
      </c>
      <c r="I289" s="205">
        <f t="shared" si="21"/>
        <v>0</v>
      </c>
      <c r="J289" s="207">
        <f>PK!F24</f>
        <v>0</v>
      </c>
      <c r="K289" s="224">
        <f>PK!G24</f>
        <v>0</v>
      </c>
      <c r="L289" s="224">
        <f>PK!H24</f>
        <v>0</v>
      </c>
      <c r="M289" s="224">
        <f>PK!I24</f>
        <v>0</v>
      </c>
      <c r="N289" s="224">
        <f>PK!J24</f>
        <v>0</v>
      </c>
      <c r="O289" s="224">
        <f>PK!K24</f>
        <v>0</v>
      </c>
      <c r="P289" s="224">
        <f>PK!L24</f>
        <v>0</v>
      </c>
      <c r="Q289" s="208">
        <f>PK!M24</f>
        <v>0</v>
      </c>
      <c r="R289" s="62"/>
      <c r="S289" s="62"/>
      <c r="T289" s="62"/>
      <c r="U289" s="62"/>
      <c r="V289" s="62"/>
      <c r="W289" s="62"/>
      <c r="X289" s="61"/>
    </row>
    <row r="290" spans="4:24" ht="12.75">
      <c r="D290" s="204" t="s">
        <v>306</v>
      </c>
      <c r="E290" s="205">
        <v>6</v>
      </c>
      <c r="F290" s="221">
        <f>PK!D25</f>
        <v>16</v>
      </c>
      <c r="G290" s="221">
        <f>IF(PK!E25&lt;&gt;"",PK!E25,"")</f>
      </c>
      <c r="H290" s="206">
        <f t="shared" si="20"/>
        <v>0</v>
      </c>
      <c r="I290" s="205">
        <f t="shared" si="21"/>
        <v>0</v>
      </c>
      <c r="J290" s="207">
        <f>PK!F25</f>
        <v>0</v>
      </c>
      <c r="K290" s="224">
        <f>PK!G25</f>
        <v>0</v>
      </c>
      <c r="L290" s="224">
        <f>PK!H25</f>
        <v>0</v>
      </c>
      <c r="M290" s="224">
        <f>PK!I25</f>
        <v>0</v>
      </c>
      <c r="N290" s="224">
        <f>PK!J25</f>
        <v>0</v>
      </c>
      <c r="O290" s="224">
        <f>PK!K25</f>
        <v>0</v>
      </c>
      <c r="P290" s="224">
        <f>PK!L25</f>
        <v>0</v>
      </c>
      <c r="Q290" s="208">
        <f>PK!M25</f>
        <v>0</v>
      </c>
      <c r="R290" s="62"/>
      <c r="S290" s="62"/>
      <c r="T290" s="62"/>
      <c r="U290" s="62"/>
      <c r="V290" s="62"/>
      <c r="W290" s="62"/>
      <c r="X290" s="61"/>
    </row>
    <row r="291" spans="4:24" ht="12.75">
      <c r="D291" s="209" t="s">
        <v>306</v>
      </c>
      <c r="E291" s="210">
        <v>6</v>
      </c>
      <c r="F291" s="222">
        <f>PK!D26</f>
        <v>17</v>
      </c>
      <c r="G291" s="222">
        <f>IF(PK!E26&lt;&gt;"",PK!E26,"")</f>
      </c>
      <c r="H291" s="211">
        <f t="shared" si="20"/>
        <v>152560662.45500004</v>
      </c>
      <c r="I291" s="210">
        <f t="shared" si="21"/>
        <v>0</v>
      </c>
      <c r="J291" s="212">
        <f>PK!F26</f>
        <v>474600000</v>
      </c>
      <c r="K291" s="225">
        <f>PK!G26</f>
        <v>0</v>
      </c>
      <c r="L291" s="225">
        <f>PK!H26</f>
        <v>0</v>
      </c>
      <c r="M291" s="225">
        <f>PK!I26</f>
        <v>-256315130</v>
      </c>
      <c r="N291" s="225">
        <f>PK!J26</f>
        <v>-24644459.5</v>
      </c>
      <c r="O291" s="225">
        <f>PK!K26</f>
        <v>1583942.5</v>
      </c>
      <c r="P291" s="225">
        <f>PK!L26</f>
        <v>0</v>
      </c>
      <c r="Q291" s="213">
        <f>PK!M26</f>
        <v>195224353</v>
      </c>
      <c r="R291" s="62"/>
      <c r="S291" s="62"/>
      <c r="T291" s="62"/>
      <c r="U291" s="62"/>
      <c r="V291" s="62"/>
      <c r="W291" s="62"/>
      <c r="X291" s="61"/>
    </row>
  </sheetData>
  <sheetProtection password="C79A" sheet="1" objects="1"/>
  <conditionalFormatting sqref="F2:G291">
    <cfRule type="cellIs" priority="1" dxfId="5"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Q27"/>
  <sheetViews>
    <sheetView showGridLines="0" showRowColHeaders="0" zoomScalePageLayoutView="0" workbookViewId="0" topLeftCell="A1">
      <pane ySplit="6" topLeftCell="A7" activePane="bottomLeft" state="frozen"/>
      <selection pane="topLeft" activeCell="A1" sqref="A1"/>
      <selection pane="bottomLeft" activeCell="K23" sqref="K23"/>
    </sheetView>
  </sheetViews>
  <sheetFormatPr defaultColWidth="0" defaultRowHeight="12.75" zeroHeight="1"/>
  <cols>
    <col min="1" max="2" width="10.7109375" style="0" customWidth="1"/>
    <col min="3" max="3" width="9.7109375" style="0" customWidth="1"/>
    <col min="4" max="5" width="7.7109375" style="0" customWidth="1"/>
    <col min="6" max="10" width="12.7109375" style="0" customWidth="1"/>
    <col min="11" max="11" width="16.57421875" style="0" customWidth="1"/>
    <col min="12" max="13" width="12.7109375" style="0" customWidth="1"/>
    <col min="14" max="14" width="0.85546875" style="0" customWidth="1"/>
    <col min="15" max="17" width="5.7109375" style="0" hidden="1" customWidth="1"/>
    <col min="18" max="16384" width="0" style="0" hidden="1" customWidth="1"/>
  </cols>
  <sheetData>
    <row r="1" spans="1:17" ht="19.5" customHeight="1">
      <c r="A1" s="320" t="s">
        <v>1801</v>
      </c>
      <c r="B1" s="321"/>
      <c r="C1" s="88" t="s">
        <v>396</v>
      </c>
      <c r="D1" s="85" t="s">
        <v>1802</v>
      </c>
      <c r="E1" s="85" t="s">
        <v>305</v>
      </c>
      <c r="F1" s="106" t="s">
        <v>1792</v>
      </c>
      <c r="G1" s="85" t="s">
        <v>397</v>
      </c>
      <c r="H1" s="106" t="s">
        <v>398</v>
      </c>
      <c r="I1" s="85" t="s">
        <v>306</v>
      </c>
      <c r="J1" s="86" t="s">
        <v>399</v>
      </c>
      <c r="L1" s="3"/>
      <c r="M1" s="3"/>
      <c r="O1" s="26">
        <f>IF(SUM(F10:M26)&lt;&gt;0,1,0)</f>
        <v>1</v>
      </c>
      <c r="P1" s="26">
        <f>IF(SUM(F10:M26)&lt;&gt;0,1,0)</f>
        <v>1</v>
      </c>
      <c r="Q1" s="26">
        <f>IF(SUM(F10:K26)&lt;&gt;0,1,0)</f>
        <v>1</v>
      </c>
    </row>
    <row r="2" spans="1:17" s="3" customFormat="1" ht="19.5" customHeight="1" thickBot="1">
      <c r="A2" s="322"/>
      <c r="B2" s="323"/>
      <c r="C2" s="89" t="s">
        <v>1803</v>
      </c>
      <c r="D2" s="90" t="s">
        <v>308</v>
      </c>
      <c r="E2" s="90" t="s">
        <v>1804</v>
      </c>
      <c r="F2" s="90" t="s">
        <v>307</v>
      </c>
      <c r="G2" s="90" t="s">
        <v>401</v>
      </c>
      <c r="H2" s="91" t="s">
        <v>402</v>
      </c>
      <c r="I2" s="87"/>
      <c r="J2" s="87"/>
      <c r="Q2" s="3">
        <f>IF(SUM(L10:L26)&lt;&gt;0,1,0)</f>
        <v>0</v>
      </c>
    </row>
    <row r="3" spans="1:13" s="3" customFormat="1" ht="19.5" customHeight="1">
      <c r="A3" s="652" t="s">
        <v>317</v>
      </c>
      <c r="B3" s="653"/>
      <c r="C3" s="653"/>
      <c r="D3" s="653"/>
      <c r="E3" s="653"/>
      <c r="F3" s="653"/>
      <c r="G3" s="653"/>
      <c r="H3" s="653"/>
      <c r="I3" s="653"/>
      <c r="J3" s="653"/>
      <c r="K3" s="653"/>
      <c r="L3" s="581"/>
      <c r="M3" s="495" t="s">
        <v>345</v>
      </c>
    </row>
    <row r="4" spans="1:13" s="3" customFormat="1" ht="19.5" customHeight="1" thickBot="1">
      <c r="A4" s="582" t="str">
        <f>"od "&amp;IF(Opci!E5&lt;&gt;"",TEXT(Opci!E5,"DD.MM.YYYY."),"__.__.____.")&amp;" do "&amp;IF(Opci!H5&lt;&gt;"",TEXT(Opci!H5,"DD.MM.YYYY."),"__.__.____.")</f>
        <v>od 01.01.2013. do 31.12.2013.</v>
      </c>
      <c r="B4" s="583"/>
      <c r="C4" s="583"/>
      <c r="D4" s="583"/>
      <c r="E4" s="583"/>
      <c r="F4" s="583"/>
      <c r="G4" s="583"/>
      <c r="H4" s="583"/>
      <c r="I4" s="583"/>
      <c r="J4" s="583"/>
      <c r="K4" s="583"/>
      <c r="L4" s="581"/>
      <c r="M4" s="586"/>
    </row>
    <row r="5" spans="1:12" s="3" customFormat="1" ht="4.5" customHeight="1">
      <c r="A5" s="56"/>
      <c r="B5" s="55"/>
      <c r="C5" s="55"/>
      <c r="D5" s="55"/>
      <c r="E5" s="55"/>
      <c r="F5" s="55"/>
      <c r="G5" s="55"/>
      <c r="H5" s="55"/>
      <c r="I5" s="55"/>
      <c r="J5" s="55"/>
      <c r="K5" s="55"/>
      <c r="L5" s="57"/>
    </row>
    <row r="6" spans="1:13" s="3" customFormat="1" ht="19.5" customHeight="1">
      <c r="A6" s="621" t="str">
        <f>"Obveznik: "&amp;IF(Opci!C23&lt;&gt;"",Opci!C23,"________")&amp;"; "&amp;IF(Opci!C25&lt;&gt;"",Opci!C25,"_____________________________________________________________"&amp;"; "&amp;IF(Opci!F27&lt;&gt;"",Opci!F27,"_______________"))</f>
        <v>Obveznik: 32247795989; CROATIA BANKA d.d.</v>
      </c>
      <c r="B6" s="622"/>
      <c r="C6" s="622"/>
      <c r="D6" s="622"/>
      <c r="E6" s="622"/>
      <c r="F6" s="622"/>
      <c r="G6" s="622"/>
      <c r="H6" s="622"/>
      <c r="I6" s="622"/>
      <c r="J6" s="622"/>
      <c r="K6" s="622"/>
      <c r="L6" s="622"/>
      <c r="M6" s="623"/>
    </row>
    <row r="7" spans="1:13" s="3" customFormat="1" ht="13.5" customHeight="1">
      <c r="A7" s="639" t="s">
        <v>2059</v>
      </c>
      <c r="B7" s="640"/>
      <c r="C7" s="641"/>
      <c r="D7" s="649" t="s">
        <v>405</v>
      </c>
      <c r="E7" s="651" t="s">
        <v>406</v>
      </c>
      <c r="F7" s="656" t="s">
        <v>341</v>
      </c>
      <c r="G7" s="657"/>
      <c r="H7" s="657"/>
      <c r="I7" s="657"/>
      <c r="J7" s="657"/>
      <c r="K7" s="657"/>
      <c r="L7" s="654" t="s">
        <v>343</v>
      </c>
      <c r="M7" s="654" t="s">
        <v>344</v>
      </c>
    </row>
    <row r="8" spans="1:13" s="3" customFormat="1" ht="52.5" customHeight="1" thickBot="1">
      <c r="A8" s="642"/>
      <c r="B8" s="643"/>
      <c r="C8" s="644"/>
      <c r="D8" s="650"/>
      <c r="E8" s="650"/>
      <c r="F8" s="96" t="s">
        <v>2124</v>
      </c>
      <c r="G8" s="96" t="s">
        <v>1789</v>
      </c>
      <c r="H8" s="96" t="s">
        <v>340</v>
      </c>
      <c r="I8" s="96" t="s">
        <v>342</v>
      </c>
      <c r="J8" s="96" t="s">
        <v>2115</v>
      </c>
      <c r="K8" s="182" t="s">
        <v>346</v>
      </c>
      <c r="L8" s="655"/>
      <c r="M8" s="655"/>
    </row>
    <row r="9" spans="1:13" s="3" customFormat="1" ht="13.5" customHeight="1">
      <c r="A9" s="636">
        <v>1</v>
      </c>
      <c r="B9" s="637"/>
      <c r="C9" s="638"/>
      <c r="D9" s="116">
        <v>2</v>
      </c>
      <c r="E9" s="117">
        <v>3</v>
      </c>
      <c r="F9" s="115">
        <v>4</v>
      </c>
      <c r="G9" s="115">
        <v>5</v>
      </c>
      <c r="H9" s="115">
        <v>6</v>
      </c>
      <c r="I9" s="115">
        <v>7</v>
      </c>
      <c r="J9" s="115">
        <v>8</v>
      </c>
      <c r="K9" s="115">
        <v>9</v>
      </c>
      <c r="L9" s="115">
        <v>10</v>
      </c>
      <c r="M9" s="115">
        <v>11</v>
      </c>
    </row>
    <row r="10" spans="1:13" s="3" customFormat="1" ht="15" customHeight="1">
      <c r="A10" s="658" t="s">
        <v>2107</v>
      </c>
      <c r="B10" s="659"/>
      <c r="C10" s="659"/>
      <c r="D10" s="183">
        <v>1</v>
      </c>
      <c r="E10" s="184"/>
      <c r="F10" s="240">
        <v>474600000</v>
      </c>
      <c r="G10" s="240"/>
      <c r="H10" s="240">
        <v>0</v>
      </c>
      <c r="I10" s="240">
        <v>-152714205</v>
      </c>
      <c r="J10" s="240">
        <v>-103600924</v>
      </c>
      <c r="K10" s="240">
        <v>1767184</v>
      </c>
      <c r="L10" s="240"/>
      <c r="M10" s="240">
        <v>220052055</v>
      </c>
    </row>
    <row r="11" spans="1:13" s="3" customFormat="1" ht="24.75" customHeight="1">
      <c r="A11" s="645" t="s">
        <v>2108</v>
      </c>
      <c r="B11" s="646"/>
      <c r="C11" s="646"/>
      <c r="D11" s="4">
        <v>2</v>
      </c>
      <c r="E11" s="243"/>
      <c r="F11" s="241"/>
      <c r="G11" s="241"/>
      <c r="H11" s="241"/>
      <c r="I11" s="241"/>
      <c r="J11" s="241"/>
      <c r="K11" s="241"/>
      <c r="L11" s="241"/>
      <c r="M11" s="241"/>
    </row>
    <row r="12" spans="1:13" s="3" customFormat="1" ht="24.75" customHeight="1">
      <c r="A12" s="632" t="s">
        <v>2109</v>
      </c>
      <c r="B12" s="633"/>
      <c r="C12" s="633"/>
      <c r="D12" s="4">
        <v>3</v>
      </c>
      <c r="E12" s="243"/>
      <c r="F12" s="254">
        <f>SUM(F10:F11)</f>
        <v>474600000</v>
      </c>
      <c r="G12" s="254">
        <f aca="true" t="shared" si="0" ref="G12:M12">SUM(G10:G11)</f>
        <v>0</v>
      </c>
      <c r="H12" s="254">
        <f t="shared" si="0"/>
        <v>0</v>
      </c>
      <c r="I12" s="254">
        <f t="shared" si="0"/>
        <v>-152714205</v>
      </c>
      <c r="J12" s="254">
        <f t="shared" si="0"/>
        <v>-103600924</v>
      </c>
      <c r="K12" s="254">
        <f t="shared" si="0"/>
        <v>1767184</v>
      </c>
      <c r="L12" s="254">
        <f t="shared" si="0"/>
        <v>0</v>
      </c>
      <c r="M12" s="254">
        <f t="shared" si="0"/>
        <v>220052055</v>
      </c>
    </row>
    <row r="13" spans="1:13" s="3" customFormat="1" ht="24.75" customHeight="1">
      <c r="A13" s="645" t="s">
        <v>2110</v>
      </c>
      <c r="B13" s="646"/>
      <c r="C13" s="646"/>
      <c r="D13" s="4">
        <v>4</v>
      </c>
      <c r="E13" s="243"/>
      <c r="F13" s="241"/>
      <c r="G13" s="241"/>
      <c r="H13" s="241"/>
      <c r="I13" s="241"/>
      <c r="J13" s="241"/>
      <c r="K13" s="241"/>
      <c r="L13" s="241"/>
      <c r="M13" s="241"/>
    </row>
    <row r="14" spans="1:13" s="3" customFormat="1" ht="24.75" customHeight="1">
      <c r="A14" s="645" t="s">
        <v>2111</v>
      </c>
      <c r="B14" s="646"/>
      <c r="C14" s="646"/>
      <c r="D14" s="4">
        <v>5</v>
      </c>
      <c r="E14" s="243"/>
      <c r="F14" s="241"/>
      <c r="G14" s="241"/>
      <c r="H14" s="241"/>
      <c r="I14" s="241"/>
      <c r="J14" s="241"/>
      <c r="K14" s="241">
        <v>-183241.5</v>
      </c>
      <c r="L14" s="241"/>
      <c r="M14" s="241">
        <v>-183242</v>
      </c>
    </row>
    <row r="15" spans="1:13" s="3" customFormat="1" ht="24.75" customHeight="1">
      <c r="A15" s="645" t="s">
        <v>2112</v>
      </c>
      <c r="B15" s="646"/>
      <c r="C15" s="646"/>
      <c r="D15" s="4">
        <v>6</v>
      </c>
      <c r="E15" s="243"/>
      <c r="F15" s="241"/>
      <c r="G15" s="241"/>
      <c r="H15" s="241"/>
      <c r="I15" s="241"/>
      <c r="J15" s="241"/>
      <c r="K15" s="241"/>
      <c r="L15" s="241"/>
      <c r="M15" s="241"/>
    </row>
    <row r="16" spans="1:13" s="3" customFormat="1" ht="24.75" customHeight="1">
      <c r="A16" s="645" t="s">
        <v>2113</v>
      </c>
      <c r="B16" s="646"/>
      <c r="C16" s="646"/>
      <c r="D16" s="4">
        <v>7</v>
      </c>
      <c r="E16" s="243"/>
      <c r="F16" s="241"/>
      <c r="G16" s="241"/>
      <c r="H16" s="241"/>
      <c r="I16" s="241"/>
      <c r="J16" s="241"/>
      <c r="K16" s="241"/>
      <c r="L16" s="241"/>
      <c r="M16" s="241"/>
    </row>
    <row r="17" spans="1:13" s="3" customFormat="1" ht="24.75" customHeight="1">
      <c r="A17" s="632" t="s">
        <v>2114</v>
      </c>
      <c r="B17" s="633"/>
      <c r="C17" s="633"/>
      <c r="D17" s="4">
        <v>8</v>
      </c>
      <c r="E17" s="243"/>
      <c r="F17" s="254">
        <f>SUM(F13:F16)</f>
        <v>0</v>
      </c>
      <c r="G17" s="254">
        <f aca="true" t="shared" si="1" ref="G17:M17">SUM(G13:G16)</f>
        <v>0</v>
      </c>
      <c r="H17" s="254">
        <f t="shared" si="1"/>
        <v>0</v>
      </c>
      <c r="I17" s="254">
        <f t="shared" si="1"/>
        <v>0</v>
      </c>
      <c r="J17" s="254">
        <f t="shared" si="1"/>
        <v>0</v>
      </c>
      <c r="K17" s="254">
        <f t="shared" si="1"/>
        <v>-183241.5</v>
      </c>
      <c r="L17" s="254">
        <f t="shared" si="1"/>
        <v>0</v>
      </c>
      <c r="M17" s="254">
        <f t="shared" si="1"/>
        <v>-183242</v>
      </c>
    </row>
    <row r="18" spans="1:13" s="3" customFormat="1" ht="15" customHeight="1">
      <c r="A18" s="645" t="s">
        <v>2115</v>
      </c>
      <c r="B18" s="646"/>
      <c r="C18" s="646"/>
      <c r="D18" s="4">
        <v>9</v>
      </c>
      <c r="E18" s="243"/>
      <c r="F18" s="241"/>
      <c r="G18" s="241"/>
      <c r="H18" s="241"/>
      <c r="I18" s="241"/>
      <c r="J18" s="241">
        <v>-24644460</v>
      </c>
      <c r="K18" s="241"/>
      <c r="L18" s="241"/>
      <c r="M18" s="241">
        <v>-24644460</v>
      </c>
    </row>
    <row r="19" spans="1:13" s="3" customFormat="1" ht="24.75" customHeight="1">
      <c r="A19" s="632" t="s">
        <v>2116</v>
      </c>
      <c r="B19" s="633"/>
      <c r="C19" s="633"/>
      <c r="D19" s="4">
        <v>10</v>
      </c>
      <c r="E19" s="243"/>
      <c r="F19" s="254">
        <f>SUM(F17:F18)</f>
        <v>0</v>
      </c>
      <c r="G19" s="254">
        <f aca="true" t="shared" si="2" ref="G19:M19">SUM(G17:G18)</f>
        <v>0</v>
      </c>
      <c r="H19" s="254">
        <f t="shared" si="2"/>
        <v>0</v>
      </c>
      <c r="I19" s="254">
        <f t="shared" si="2"/>
        <v>0</v>
      </c>
      <c r="J19" s="254">
        <f t="shared" si="2"/>
        <v>-24644460</v>
      </c>
      <c r="K19" s="254">
        <f t="shared" si="2"/>
        <v>-183241.5</v>
      </c>
      <c r="L19" s="254">
        <f t="shared" si="2"/>
        <v>0</v>
      </c>
      <c r="M19" s="254">
        <f t="shared" si="2"/>
        <v>-24827702</v>
      </c>
    </row>
    <row r="20" spans="1:13" s="3" customFormat="1" ht="15" customHeight="1">
      <c r="A20" s="645" t="s">
        <v>2117</v>
      </c>
      <c r="B20" s="646"/>
      <c r="C20" s="646"/>
      <c r="D20" s="4">
        <v>11</v>
      </c>
      <c r="E20" s="243"/>
      <c r="F20" s="241"/>
      <c r="G20" s="241"/>
      <c r="H20" s="241"/>
      <c r="I20" s="241"/>
      <c r="J20" s="241"/>
      <c r="K20" s="241"/>
      <c r="L20" s="241"/>
      <c r="M20" s="241"/>
    </row>
    <row r="21" spans="1:13" s="3" customFormat="1" ht="15" customHeight="1">
      <c r="A21" s="645" t="s">
        <v>2118</v>
      </c>
      <c r="B21" s="646"/>
      <c r="C21" s="646"/>
      <c r="D21" s="4">
        <v>12</v>
      </c>
      <c r="E21" s="243"/>
      <c r="F21" s="241"/>
      <c r="G21" s="241"/>
      <c r="H21" s="241"/>
      <c r="I21" s="241"/>
      <c r="J21" s="241"/>
      <c r="K21" s="241"/>
      <c r="L21" s="241"/>
      <c r="M21" s="241"/>
    </row>
    <row r="22" spans="1:13" s="3" customFormat="1" ht="15" customHeight="1">
      <c r="A22" s="645" t="s">
        <v>2119</v>
      </c>
      <c r="B22" s="646"/>
      <c r="C22" s="646"/>
      <c r="D22" s="4">
        <v>13</v>
      </c>
      <c r="E22" s="243"/>
      <c r="F22" s="241"/>
      <c r="G22" s="241"/>
      <c r="H22" s="241"/>
      <c r="I22" s="241">
        <v>-103600925</v>
      </c>
      <c r="J22" s="241">
        <v>103600924.5</v>
      </c>
      <c r="K22" s="241"/>
      <c r="L22" s="241"/>
      <c r="M22" s="241">
        <v>0</v>
      </c>
    </row>
    <row r="23" spans="1:13" s="3" customFormat="1" ht="15" customHeight="1">
      <c r="A23" s="645" t="s">
        <v>2120</v>
      </c>
      <c r="B23" s="646"/>
      <c r="C23" s="646"/>
      <c r="D23" s="4">
        <v>14</v>
      </c>
      <c r="E23" s="243"/>
      <c r="F23" s="241"/>
      <c r="G23" s="241"/>
      <c r="H23" s="241"/>
      <c r="I23" s="241"/>
      <c r="J23" s="241"/>
      <c r="K23" s="241"/>
      <c r="L23" s="241"/>
      <c r="M23" s="241"/>
    </row>
    <row r="24" spans="1:13" s="3" customFormat="1" ht="15" customHeight="1">
      <c r="A24" s="645" t="s">
        <v>2121</v>
      </c>
      <c r="B24" s="646"/>
      <c r="C24" s="646"/>
      <c r="D24" s="4">
        <v>15</v>
      </c>
      <c r="E24" s="243"/>
      <c r="F24" s="241"/>
      <c r="G24" s="241"/>
      <c r="H24" s="241"/>
      <c r="I24" s="241"/>
      <c r="J24" s="241"/>
      <c r="K24" s="241"/>
      <c r="L24" s="241"/>
      <c r="M24" s="241"/>
    </row>
    <row r="25" spans="1:13" s="3" customFormat="1" ht="15" customHeight="1">
      <c r="A25" s="632" t="s">
        <v>2122</v>
      </c>
      <c r="B25" s="633"/>
      <c r="C25" s="633"/>
      <c r="D25" s="4">
        <v>16</v>
      </c>
      <c r="E25" s="243"/>
      <c r="F25" s="254">
        <f>SUM(F23:F24)</f>
        <v>0</v>
      </c>
      <c r="G25" s="254">
        <f aca="true" t="shared" si="3" ref="G25:M25">SUM(G23:G24)</f>
        <v>0</v>
      </c>
      <c r="H25" s="254">
        <f t="shared" si="3"/>
        <v>0</v>
      </c>
      <c r="I25" s="254">
        <f t="shared" si="3"/>
        <v>0</v>
      </c>
      <c r="J25" s="254">
        <f t="shared" si="3"/>
        <v>0</v>
      </c>
      <c r="K25" s="254">
        <f t="shared" si="3"/>
        <v>0</v>
      </c>
      <c r="L25" s="254">
        <f t="shared" si="3"/>
        <v>0</v>
      </c>
      <c r="M25" s="254">
        <f t="shared" si="3"/>
        <v>0</v>
      </c>
    </row>
    <row r="26" spans="1:13" s="3" customFormat="1" ht="24.75" customHeight="1">
      <c r="A26" s="634" t="s">
        <v>2123</v>
      </c>
      <c r="B26" s="635"/>
      <c r="C26" s="635"/>
      <c r="D26" s="8">
        <v>17</v>
      </c>
      <c r="E26" s="247"/>
      <c r="F26" s="252">
        <f>F12+F19+F20+F21+F22+F25</f>
        <v>474600000</v>
      </c>
      <c r="G26" s="252">
        <f aca="true" t="shared" si="4" ref="G26:M26">G12+G19+G20+G21+G22+G25</f>
        <v>0</v>
      </c>
      <c r="H26" s="252">
        <f t="shared" si="4"/>
        <v>0</v>
      </c>
      <c r="I26" s="252">
        <f t="shared" si="4"/>
        <v>-256315130</v>
      </c>
      <c r="J26" s="252">
        <f t="shared" si="4"/>
        <v>-24644459.5</v>
      </c>
      <c r="K26" s="252">
        <f t="shared" si="4"/>
        <v>1583942.5</v>
      </c>
      <c r="L26" s="252">
        <f t="shared" si="4"/>
        <v>0</v>
      </c>
      <c r="M26" s="252">
        <f t="shared" si="4"/>
        <v>195224353</v>
      </c>
    </row>
    <row r="27" spans="1:15" s="3" customFormat="1" ht="17.25" customHeight="1">
      <c r="A27" s="647" t="s">
        <v>233</v>
      </c>
      <c r="B27" s="648"/>
      <c r="C27" s="648"/>
      <c r="D27" s="648"/>
      <c r="E27" s="648"/>
      <c r="F27" s="648"/>
      <c r="G27" s="648"/>
      <c r="H27" s="648"/>
      <c r="I27" s="648"/>
      <c r="J27" s="648"/>
      <c r="K27" s="648"/>
      <c r="L27" s="648"/>
      <c r="M27" s="648"/>
      <c r="O27" s="26"/>
    </row>
    <row r="28" ht="4.5" customHeight="1"/>
  </sheetData>
  <sheetProtection password="C79A" sheet="1" objects="1"/>
  <mergeCells count="30">
    <mergeCell ref="A1:B2"/>
    <mergeCell ref="A20:C20"/>
    <mergeCell ref="A15:C15"/>
    <mergeCell ref="A16:C16"/>
    <mergeCell ref="A17:C17"/>
    <mergeCell ref="A18:C18"/>
    <mergeCell ref="A12:C12"/>
    <mergeCell ref="A10:C10"/>
    <mergeCell ref="A11:C11"/>
    <mergeCell ref="A19:C19"/>
    <mergeCell ref="A27:M27"/>
    <mergeCell ref="D7:D8"/>
    <mergeCell ref="E7:E8"/>
    <mergeCell ref="A3:L3"/>
    <mergeCell ref="M3:M4"/>
    <mergeCell ref="A4:L4"/>
    <mergeCell ref="A6:M6"/>
    <mergeCell ref="L7:L8"/>
    <mergeCell ref="M7:M8"/>
    <mergeCell ref="F7:K7"/>
    <mergeCell ref="A25:C25"/>
    <mergeCell ref="A26:C26"/>
    <mergeCell ref="A9:C9"/>
    <mergeCell ref="A7:C8"/>
    <mergeCell ref="A21:C21"/>
    <mergeCell ref="A22:C22"/>
    <mergeCell ref="A23:C23"/>
    <mergeCell ref="A24:C24"/>
    <mergeCell ref="A13:C13"/>
    <mergeCell ref="A14:C14"/>
  </mergeCells>
  <dataValidations count="1">
    <dataValidation type="whole" operator="notEqual" allowBlank="1" showInputMessage="1" showErrorMessage="1" errorTitle="Neispravan unos" error="Unose se samo cjelobrojne (pozitivne ili negativne) vrijednosti" sqref="F20:M24 F18:M18 F10:M11 F13:M1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landscape" paperSize="9" scale="89" r:id="rId1"/>
</worksheet>
</file>

<file path=xl/worksheets/sheet11.xml><?xml version="1.0" encoding="utf-8"?>
<worksheet xmlns="http://schemas.openxmlformats.org/spreadsheetml/2006/main" xmlns:r="http://schemas.openxmlformats.org/officeDocument/2006/relationships">
  <sheetPr>
    <pageSetUpPr fitToPage="1"/>
  </sheetPr>
  <dimension ref="A1:O108"/>
  <sheetViews>
    <sheetView showGridLines="0" showRowColHeaders="0" zoomScalePageLayoutView="0" workbookViewId="0" topLeftCell="A1">
      <pane ySplit="8" topLeftCell="A9" activePane="bottomLeft" state="frozen"/>
      <selection pane="topLeft" activeCell="A4" sqref="A4:J4"/>
      <selection pane="bottomLeft" activeCell="A1" sqref="A1:B2"/>
    </sheetView>
  </sheetViews>
  <sheetFormatPr defaultColWidth="0" defaultRowHeight="12.75" zeroHeight="1"/>
  <cols>
    <col min="1" max="2" width="7.7109375" style="0" customWidth="1"/>
    <col min="3" max="6" width="9.7109375" style="0" customWidth="1"/>
    <col min="7" max="10" width="10.7109375" style="0" customWidth="1"/>
    <col min="11" max="11" width="9.7109375" style="0" customWidth="1"/>
    <col min="12" max="12" width="0.85546875" style="0" customWidth="1"/>
    <col min="13" max="16384" width="0" style="0" hidden="1" customWidth="1"/>
  </cols>
  <sheetData>
    <row r="1" spans="1:15" ht="19.5" customHeight="1">
      <c r="A1" s="320" t="s">
        <v>1801</v>
      </c>
      <c r="B1" s="321"/>
      <c r="C1" s="88" t="s">
        <v>396</v>
      </c>
      <c r="D1" s="85" t="s">
        <v>1802</v>
      </c>
      <c r="E1" s="85" t="s">
        <v>305</v>
      </c>
      <c r="F1" s="106" t="s">
        <v>1792</v>
      </c>
      <c r="G1" s="85" t="s">
        <v>397</v>
      </c>
      <c r="H1" s="106" t="s">
        <v>398</v>
      </c>
      <c r="I1" s="85" t="s">
        <v>306</v>
      </c>
      <c r="J1" s="86" t="s">
        <v>399</v>
      </c>
      <c r="O1" s="3">
        <f>SUM(N9:N108)</f>
        <v>0</v>
      </c>
    </row>
    <row r="2" spans="1:10" s="3" customFormat="1" ht="19.5" customHeight="1">
      <c r="A2" s="322"/>
      <c r="B2" s="323"/>
      <c r="C2" s="89" t="s">
        <v>1803</v>
      </c>
      <c r="D2" s="90" t="s">
        <v>308</v>
      </c>
      <c r="E2" s="90" t="s">
        <v>1804</v>
      </c>
      <c r="F2" s="90" t="s">
        <v>307</v>
      </c>
      <c r="G2" s="90" t="s">
        <v>401</v>
      </c>
      <c r="H2" s="91" t="s">
        <v>402</v>
      </c>
      <c r="I2" s="87"/>
      <c r="J2" s="87"/>
    </row>
    <row r="3" spans="1:11" s="3" customFormat="1" ht="60.75" customHeight="1">
      <c r="A3" s="664" t="s">
        <v>1793</v>
      </c>
      <c r="B3" s="665"/>
      <c r="C3" s="665"/>
      <c r="D3" s="665"/>
      <c r="E3" s="665"/>
      <c r="F3" s="665"/>
      <c r="G3" s="665"/>
      <c r="H3" s="665"/>
      <c r="I3" s="665"/>
      <c r="J3" s="665"/>
      <c r="K3" s="666"/>
    </row>
    <row r="4" spans="1:11" s="3" customFormat="1" ht="19.5" customHeight="1">
      <c r="A4" s="682" t="s">
        <v>213</v>
      </c>
      <c r="B4" s="683"/>
      <c r="C4" s="683"/>
      <c r="D4" s="683"/>
      <c r="E4" s="683"/>
      <c r="F4" s="683"/>
      <c r="G4" s="683"/>
      <c r="H4" s="683"/>
      <c r="I4" s="684"/>
      <c r="J4" s="684"/>
      <c r="K4" s="685"/>
    </row>
    <row r="5" spans="1:11" s="3" customFormat="1" ht="19.5" customHeight="1">
      <c r="A5" s="669" t="str">
        <f>"za razdoblje "&amp;IF(Opci!E5&lt;&gt;"",TEXT(Opci!E5,"DD.MM.YYYY."),"__.__.____.")&amp;" do "&amp;IF(Opci!H5&lt;&gt;"",TEXT(Opci!H5,"DD.MM.YYYY."),"__.__.____.")</f>
        <v>za razdoblje 01.01.2013. do 31.12.2013.</v>
      </c>
      <c r="B5" s="670"/>
      <c r="C5" s="670"/>
      <c r="D5" s="670"/>
      <c r="E5" s="670"/>
      <c r="F5" s="670"/>
      <c r="G5" s="670"/>
      <c r="H5" s="670"/>
      <c r="I5" s="671"/>
      <c r="J5" s="672"/>
      <c r="K5" s="673"/>
    </row>
    <row r="6" spans="1:11" s="3" customFormat="1" ht="19.5" customHeight="1">
      <c r="A6" s="686" t="str">
        <f>"Obveznik: "&amp;IF(Opci!C19&lt;&gt;"",Opci!C19,"________")&amp;"; "&amp;IF(Opci!C25&lt;&gt;"",Opci!C25,"_____________________________________________________________"&amp;"; "&amp;IF(Opci!F27&lt;&gt;"",Opci!F27,"_______________"))</f>
        <v>Obveznik: 03467988; CROATIA BANKA d.d.</v>
      </c>
      <c r="B6" s="687"/>
      <c r="C6" s="687"/>
      <c r="D6" s="687"/>
      <c r="E6" s="687"/>
      <c r="F6" s="687"/>
      <c r="G6" s="687"/>
      <c r="H6" s="687"/>
      <c r="I6" s="687"/>
      <c r="J6" s="687"/>
      <c r="K6" s="688"/>
    </row>
    <row r="7" spans="1:11" s="3" customFormat="1" ht="15" customHeight="1" thickBot="1">
      <c r="A7" s="649" t="s">
        <v>214</v>
      </c>
      <c r="B7" s="675" t="s">
        <v>212</v>
      </c>
      <c r="C7" s="675"/>
      <c r="D7" s="674" t="s">
        <v>211</v>
      </c>
      <c r="E7" s="668"/>
      <c r="F7" s="668"/>
      <c r="G7" s="668"/>
      <c r="H7" s="668"/>
      <c r="I7" s="667" t="s">
        <v>1161</v>
      </c>
      <c r="J7" s="668"/>
      <c r="K7" s="93" t="s">
        <v>2290</v>
      </c>
    </row>
    <row r="8" spans="1:11" s="3" customFormat="1" ht="13.5" customHeight="1">
      <c r="A8" s="663"/>
      <c r="B8" s="660">
        <v>1</v>
      </c>
      <c r="C8" s="661"/>
      <c r="D8" s="660">
        <v>2</v>
      </c>
      <c r="E8" s="662"/>
      <c r="F8" s="662"/>
      <c r="G8" s="662"/>
      <c r="H8" s="661"/>
      <c r="I8" s="660">
        <v>3</v>
      </c>
      <c r="J8" s="661"/>
      <c r="K8" s="94">
        <v>4</v>
      </c>
    </row>
    <row r="9" spans="1:11" ht="13.5" customHeight="1">
      <c r="A9" s="13" t="s">
        <v>215</v>
      </c>
      <c r="B9" s="679"/>
      <c r="C9" s="680"/>
      <c r="D9" s="681"/>
      <c r="E9" s="681"/>
      <c r="F9" s="681"/>
      <c r="G9" s="681"/>
      <c r="H9" s="681"/>
      <c r="I9" s="681"/>
      <c r="J9" s="681"/>
      <c r="K9" s="14"/>
    </row>
    <row r="10" spans="1:11" ht="13.5" customHeight="1">
      <c r="A10" s="11" t="s">
        <v>216</v>
      </c>
      <c r="B10" s="677"/>
      <c r="C10" s="678"/>
      <c r="D10" s="676"/>
      <c r="E10" s="676"/>
      <c r="F10" s="676"/>
      <c r="G10" s="676"/>
      <c r="H10" s="676"/>
      <c r="I10" s="676"/>
      <c r="J10" s="676"/>
      <c r="K10" s="12"/>
    </row>
    <row r="11" spans="1:11" ht="13.5" customHeight="1">
      <c r="A11" s="11" t="s">
        <v>217</v>
      </c>
      <c r="B11" s="677"/>
      <c r="C11" s="678"/>
      <c r="D11" s="676"/>
      <c r="E11" s="676"/>
      <c r="F11" s="676"/>
      <c r="G11" s="676"/>
      <c r="H11" s="676"/>
      <c r="I11" s="676"/>
      <c r="J11" s="676"/>
      <c r="K11" s="12"/>
    </row>
    <row r="12" spans="1:11" ht="13.5" customHeight="1">
      <c r="A12" s="11" t="s">
        <v>218</v>
      </c>
      <c r="B12" s="677"/>
      <c r="C12" s="678"/>
      <c r="D12" s="676"/>
      <c r="E12" s="676"/>
      <c r="F12" s="676"/>
      <c r="G12" s="676"/>
      <c r="H12" s="676"/>
      <c r="I12" s="676"/>
      <c r="J12" s="676"/>
      <c r="K12" s="12"/>
    </row>
    <row r="13" spans="1:11" ht="13.5" customHeight="1">
      <c r="A13" s="11" t="s">
        <v>219</v>
      </c>
      <c r="B13" s="677"/>
      <c r="C13" s="678"/>
      <c r="D13" s="676"/>
      <c r="E13" s="676"/>
      <c r="F13" s="676"/>
      <c r="G13" s="676"/>
      <c r="H13" s="676"/>
      <c r="I13" s="676"/>
      <c r="J13" s="676"/>
      <c r="K13" s="12"/>
    </row>
    <row r="14" spans="1:11" ht="13.5" customHeight="1">
      <c r="A14" s="11" t="s">
        <v>220</v>
      </c>
      <c r="B14" s="677"/>
      <c r="C14" s="678"/>
      <c r="D14" s="676"/>
      <c r="E14" s="676"/>
      <c r="F14" s="676"/>
      <c r="G14" s="676"/>
      <c r="H14" s="676"/>
      <c r="I14" s="676"/>
      <c r="J14" s="676"/>
      <c r="K14" s="12"/>
    </row>
    <row r="15" spans="1:11" ht="13.5" customHeight="1">
      <c r="A15" s="11" t="s">
        <v>221</v>
      </c>
      <c r="B15" s="677"/>
      <c r="C15" s="678"/>
      <c r="D15" s="676"/>
      <c r="E15" s="676"/>
      <c r="F15" s="676"/>
      <c r="G15" s="676"/>
      <c r="H15" s="676"/>
      <c r="I15" s="676"/>
      <c r="J15" s="676"/>
      <c r="K15" s="12"/>
    </row>
    <row r="16" spans="1:11" ht="13.5" customHeight="1">
      <c r="A16" s="11" t="s">
        <v>222</v>
      </c>
      <c r="B16" s="677"/>
      <c r="C16" s="678"/>
      <c r="D16" s="676"/>
      <c r="E16" s="676"/>
      <c r="F16" s="676"/>
      <c r="G16" s="676"/>
      <c r="H16" s="676"/>
      <c r="I16" s="676"/>
      <c r="J16" s="676"/>
      <c r="K16" s="12"/>
    </row>
    <row r="17" spans="1:11" ht="13.5" customHeight="1">
      <c r="A17" s="11" t="s">
        <v>223</v>
      </c>
      <c r="B17" s="677"/>
      <c r="C17" s="678"/>
      <c r="D17" s="676"/>
      <c r="E17" s="676"/>
      <c r="F17" s="676"/>
      <c r="G17" s="676"/>
      <c r="H17" s="676"/>
      <c r="I17" s="676"/>
      <c r="J17" s="676"/>
      <c r="K17" s="12"/>
    </row>
    <row r="18" spans="1:11" ht="13.5" customHeight="1">
      <c r="A18" s="11" t="s">
        <v>224</v>
      </c>
      <c r="B18" s="677"/>
      <c r="C18" s="678"/>
      <c r="D18" s="676"/>
      <c r="E18" s="676"/>
      <c r="F18" s="676"/>
      <c r="G18" s="676"/>
      <c r="H18" s="676"/>
      <c r="I18" s="676"/>
      <c r="J18" s="676"/>
      <c r="K18" s="12"/>
    </row>
    <row r="19" spans="1:11" ht="13.5" customHeight="1">
      <c r="A19" s="11" t="s">
        <v>225</v>
      </c>
      <c r="B19" s="677"/>
      <c r="C19" s="678"/>
      <c r="D19" s="676"/>
      <c r="E19" s="676"/>
      <c r="F19" s="676"/>
      <c r="G19" s="676"/>
      <c r="H19" s="676"/>
      <c r="I19" s="676"/>
      <c r="J19" s="676"/>
      <c r="K19" s="12"/>
    </row>
    <row r="20" spans="1:11" ht="13.5" customHeight="1">
      <c r="A20" s="11" t="s">
        <v>226</v>
      </c>
      <c r="B20" s="677"/>
      <c r="C20" s="678"/>
      <c r="D20" s="676"/>
      <c r="E20" s="676"/>
      <c r="F20" s="676"/>
      <c r="G20" s="676"/>
      <c r="H20" s="676"/>
      <c r="I20" s="676"/>
      <c r="J20" s="676"/>
      <c r="K20" s="12"/>
    </row>
    <row r="21" spans="1:11" ht="13.5" customHeight="1">
      <c r="A21" s="11" t="s">
        <v>227</v>
      </c>
      <c r="B21" s="677"/>
      <c r="C21" s="678"/>
      <c r="D21" s="676"/>
      <c r="E21" s="676"/>
      <c r="F21" s="676"/>
      <c r="G21" s="676"/>
      <c r="H21" s="676"/>
      <c r="I21" s="676"/>
      <c r="J21" s="676"/>
      <c r="K21" s="12"/>
    </row>
    <row r="22" spans="1:11" ht="13.5" customHeight="1">
      <c r="A22" s="11" t="s">
        <v>228</v>
      </c>
      <c r="B22" s="677"/>
      <c r="C22" s="678"/>
      <c r="D22" s="676"/>
      <c r="E22" s="676"/>
      <c r="F22" s="676"/>
      <c r="G22" s="676"/>
      <c r="H22" s="676"/>
      <c r="I22" s="676"/>
      <c r="J22" s="676"/>
      <c r="K22" s="12"/>
    </row>
    <row r="23" spans="1:11" ht="13.5" customHeight="1">
      <c r="A23" s="11" t="s">
        <v>1162</v>
      </c>
      <c r="B23" s="677"/>
      <c r="C23" s="678"/>
      <c r="D23" s="676"/>
      <c r="E23" s="676"/>
      <c r="F23" s="676"/>
      <c r="G23" s="676"/>
      <c r="H23" s="676"/>
      <c r="I23" s="676"/>
      <c r="J23" s="676"/>
      <c r="K23" s="12"/>
    </row>
    <row r="24" spans="1:11" ht="13.5" customHeight="1">
      <c r="A24" s="11" t="s">
        <v>1163</v>
      </c>
      <c r="B24" s="677"/>
      <c r="C24" s="678"/>
      <c r="D24" s="676"/>
      <c r="E24" s="676"/>
      <c r="F24" s="676"/>
      <c r="G24" s="676"/>
      <c r="H24" s="676"/>
      <c r="I24" s="676"/>
      <c r="J24" s="676"/>
      <c r="K24" s="12"/>
    </row>
    <row r="25" spans="1:11" ht="13.5" customHeight="1">
      <c r="A25" s="11" t="s">
        <v>1164</v>
      </c>
      <c r="B25" s="677"/>
      <c r="C25" s="678"/>
      <c r="D25" s="676"/>
      <c r="E25" s="676"/>
      <c r="F25" s="676"/>
      <c r="G25" s="676"/>
      <c r="H25" s="676"/>
      <c r="I25" s="676"/>
      <c r="J25" s="676"/>
      <c r="K25" s="12"/>
    </row>
    <row r="26" spans="1:11" ht="13.5" customHeight="1">
      <c r="A26" s="11" t="s">
        <v>727</v>
      </c>
      <c r="B26" s="677"/>
      <c r="C26" s="678"/>
      <c r="D26" s="676"/>
      <c r="E26" s="676"/>
      <c r="F26" s="676"/>
      <c r="G26" s="676"/>
      <c r="H26" s="676"/>
      <c r="I26" s="676"/>
      <c r="J26" s="676"/>
      <c r="K26" s="12"/>
    </row>
    <row r="27" spans="1:11" ht="13.5" customHeight="1">
      <c r="A27" s="11" t="s">
        <v>728</v>
      </c>
      <c r="B27" s="677"/>
      <c r="C27" s="678"/>
      <c r="D27" s="676"/>
      <c r="E27" s="676"/>
      <c r="F27" s="676"/>
      <c r="G27" s="676"/>
      <c r="H27" s="676"/>
      <c r="I27" s="676"/>
      <c r="J27" s="676"/>
      <c r="K27" s="12"/>
    </row>
    <row r="28" spans="1:11" ht="13.5" customHeight="1">
      <c r="A28" s="11" t="s">
        <v>729</v>
      </c>
      <c r="B28" s="677"/>
      <c r="C28" s="678"/>
      <c r="D28" s="676"/>
      <c r="E28" s="676"/>
      <c r="F28" s="676"/>
      <c r="G28" s="676"/>
      <c r="H28" s="676"/>
      <c r="I28" s="676"/>
      <c r="J28" s="676"/>
      <c r="K28" s="12"/>
    </row>
    <row r="29" spans="1:11" ht="13.5" customHeight="1">
      <c r="A29" s="11" t="s">
        <v>730</v>
      </c>
      <c r="B29" s="677"/>
      <c r="C29" s="678"/>
      <c r="D29" s="676"/>
      <c r="E29" s="676"/>
      <c r="F29" s="676"/>
      <c r="G29" s="676"/>
      <c r="H29" s="676"/>
      <c r="I29" s="676"/>
      <c r="J29" s="676"/>
      <c r="K29" s="12"/>
    </row>
    <row r="30" spans="1:11" ht="13.5" customHeight="1">
      <c r="A30" s="11" t="s">
        <v>731</v>
      </c>
      <c r="B30" s="677"/>
      <c r="C30" s="678"/>
      <c r="D30" s="676"/>
      <c r="E30" s="676"/>
      <c r="F30" s="676"/>
      <c r="G30" s="676"/>
      <c r="H30" s="676"/>
      <c r="I30" s="676"/>
      <c r="J30" s="676"/>
      <c r="K30" s="12"/>
    </row>
    <row r="31" spans="1:11" ht="13.5" customHeight="1">
      <c r="A31" s="11" t="s">
        <v>732</v>
      </c>
      <c r="B31" s="677"/>
      <c r="C31" s="678"/>
      <c r="D31" s="676"/>
      <c r="E31" s="676"/>
      <c r="F31" s="676"/>
      <c r="G31" s="676"/>
      <c r="H31" s="676"/>
      <c r="I31" s="676"/>
      <c r="J31" s="676"/>
      <c r="K31" s="12"/>
    </row>
    <row r="32" spans="1:11" ht="13.5" customHeight="1">
      <c r="A32" s="11" t="s">
        <v>733</v>
      </c>
      <c r="B32" s="677"/>
      <c r="C32" s="678"/>
      <c r="D32" s="676"/>
      <c r="E32" s="676"/>
      <c r="F32" s="676"/>
      <c r="G32" s="676"/>
      <c r="H32" s="676"/>
      <c r="I32" s="676"/>
      <c r="J32" s="676"/>
      <c r="K32" s="12"/>
    </row>
    <row r="33" spans="1:11" ht="13.5" customHeight="1">
      <c r="A33" s="11" t="s">
        <v>734</v>
      </c>
      <c r="B33" s="677"/>
      <c r="C33" s="678"/>
      <c r="D33" s="676"/>
      <c r="E33" s="676"/>
      <c r="F33" s="676"/>
      <c r="G33" s="676"/>
      <c r="H33" s="676"/>
      <c r="I33" s="676"/>
      <c r="J33" s="676"/>
      <c r="K33" s="12"/>
    </row>
    <row r="34" spans="1:11" ht="13.5" customHeight="1">
      <c r="A34" s="11" t="s">
        <v>735</v>
      </c>
      <c r="B34" s="677"/>
      <c r="C34" s="678"/>
      <c r="D34" s="676"/>
      <c r="E34" s="676"/>
      <c r="F34" s="676"/>
      <c r="G34" s="676"/>
      <c r="H34" s="676"/>
      <c r="I34" s="676"/>
      <c r="J34" s="676"/>
      <c r="K34" s="12"/>
    </row>
    <row r="35" spans="1:11" ht="13.5" customHeight="1">
      <c r="A35" s="11" t="s">
        <v>736</v>
      </c>
      <c r="B35" s="677"/>
      <c r="C35" s="678"/>
      <c r="D35" s="676"/>
      <c r="E35" s="676"/>
      <c r="F35" s="676"/>
      <c r="G35" s="676"/>
      <c r="H35" s="676"/>
      <c r="I35" s="676"/>
      <c r="J35" s="676"/>
      <c r="K35" s="12"/>
    </row>
    <row r="36" spans="1:11" ht="13.5" customHeight="1">
      <c r="A36" s="11" t="s">
        <v>737</v>
      </c>
      <c r="B36" s="677"/>
      <c r="C36" s="678"/>
      <c r="D36" s="676"/>
      <c r="E36" s="676"/>
      <c r="F36" s="676"/>
      <c r="G36" s="676"/>
      <c r="H36" s="676"/>
      <c r="I36" s="676"/>
      <c r="J36" s="676"/>
      <c r="K36" s="12"/>
    </row>
    <row r="37" spans="1:11" ht="13.5" customHeight="1">
      <c r="A37" s="11" t="s">
        <v>738</v>
      </c>
      <c r="B37" s="677"/>
      <c r="C37" s="678"/>
      <c r="D37" s="676"/>
      <c r="E37" s="676"/>
      <c r="F37" s="676"/>
      <c r="G37" s="676"/>
      <c r="H37" s="676"/>
      <c r="I37" s="676"/>
      <c r="J37" s="676"/>
      <c r="K37" s="12"/>
    </row>
    <row r="38" spans="1:11" ht="13.5" customHeight="1">
      <c r="A38" s="11" t="s">
        <v>144</v>
      </c>
      <c r="B38" s="677"/>
      <c r="C38" s="678"/>
      <c r="D38" s="676"/>
      <c r="E38" s="676"/>
      <c r="F38" s="676"/>
      <c r="G38" s="676"/>
      <c r="H38" s="676"/>
      <c r="I38" s="676"/>
      <c r="J38" s="676"/>
      <c r="K38" s="12"/>
    </row>
    <row r="39" spans="1:11" ht="13.5" customHeight="1">
      <c r="A39" s="11" t="s">
        <v>1844</v>
      </c>
      <c r="B39" s="677"/>
      <c r="C39" s="678"/>
      <c r="D39" s="676"/>
      <c r="E39" s="676"/>
      <c r="F39" s="676"/>
      <c r="G39" s="676"/>
      <c r="H39" s="676"/>
      <c r="I39" s="676"/>
      <c r="J39" s="676"/>
      <c r="K39" s="12"/>
    </row>
    <row r="40" spans="1:11" ht="13.5" customHeight="1">
      <c r="A40" s="11" t="s">
        <v>1845</v>
      </c>
      <c r="B40" s="677"/>
      <c r="C40" s="678"/>
      <c r="D40" s="676"/>
      <c r="E40" s="676"/>
      <c r="F40" s="676"/>
      <c r="G40" s="676"/>
      <c r="H40" s="676"/>
      <c r="I40" s="676"/>
      <c r="J40" s="676"/>
      <c r="K40" s="12"/>
    </row>
    <row r="41" spans="1:11" ht="13.5" customHeight="1">
      <c r="A41" s="11" t="s">
        <v>1846</v>
      </c>
      <c r="B41" s="677"/>
      <c r="C41" s="678"/>
      <c r="D41" s="676"/>
      <c r="E41" s="676"/>
      <c r="F41" s="676"/>
      <c r="G41" s="676"/>
      <c r="H41" s="676"/>
      <c r="I41" s="676"/>
      <c r="J41" s="676"/>
      <c r="K41" s="12"/>
    </row>
    <row r="42" spans="1:11" ht="13.5" customHeight="1">
      <c r="A42" s="11" t="s">
        <v>1847</v>
      </c>
      <c r="B42" s="677"/>
      <c r="C42" s="678"/>
      <c r="D42" s="676"/>
      <c r="E42" s="676"/>
      <c r="F42" s="676"/>
      <c r="G42" s="676"/>
      <c r="H42" s="676"/>
      <c r="I42" s="676"/>
      <c r="J42" s="676"/>
      <c r="K42" s="12"/>
    </row>
    <row r="43" spans="1:11" ht="13.5" customHeight="1">
      <c r="A43" s="11" t="s">
        <v>1848</v>
      </c>
      <c r="B43" s="677"/>
      <c r="C43" s="678"/>
      <c r="D43" s="676"/>
      <c r="E43" s="676"/>
      <c r="F43" s="676"/>
      <c r="G43" s="676"/>
      <c r="H43" s="676"/>
      <c r="I43" s="676"/>
      <c r="J43" s="676"/>
      <c r="K43" s="12"/>
    </row>
    <row r="44" spans="1:11" ht="13.5" customHeight="1">
      <c r="A44" s="11" t="s">
        <v>1849</v>
      </c>
      <c r="B44" s="677"/>
      <c r="C44" s="678"/>
      <c r="D44" s="676"/>
      <c r="E44" s="676"/>
      <c r="F44" s="676"/>
      <c r="G44" s="676"/>
      <c r="H44" s="676"/>
      <c r="I44" s="676"/>
      <c r="J44" s="676"/>
      <c r="K44" s="12"/>
    </row>
    <row r="45" spans="1:11" ht="13.5" customHeight="1">
      <c r="A45" s="11" t="s">
        <v>1850</v>
      </c>
      <c r="B45" s="677"/>
      <c r="C45" s="678"/>
      <c r="D45" s="676"/>
      <c r="E45" s="676"/>
      <c r="F45" s="676"/>
      <c r="G45" s="676"/>
      <c r="H45" s="676"/>
      <c r="I45" s="676"/>
      <c r="J45" s="676"/>
      <c r="K45" s="12"/>
    </row>
    <row r="46" spans="1:11" ht="13.5" customHeight="1">
      <c r="A46" s="11" t="s">
        <v>1851</v>
      </c>
      <c r="B46" s="677"/>
      <c r="C46" s="678"/>
      <c r="D46" s="676"/>
      <c r="E46" s="676"/>
      <c r="F46" s="676"/>
      <c r="G46" s="676"/>
      <c r="H46" s="676"/>
      <c r="I46" s="676"/>
      <c r="J46" s="676"/>
      <c r="K46" s="12"/>
    </row>
    <row r="47" spans="1:11" ht="13.5" customHeight="1">
      <c r="A47" s="11" t="s">
        <v>1852</v>
      </c>
      <c r="B47" s="677"/>
      <c r="C47" s="678"/>
      <c r="D47" s="676"/>
      <c r="E47" s="676"/>
      <c r="F47" s="676"/>
      <c r="G47" s="676"/>
      <c r="H47" s="676"/>
      <c r="I47" s="676"/>
      <c r="J47" s="676"/>
      <c r="K47" s="12"/>
    </row>
    <row r="48" spans="1:11" ht="13.5" customHeight="1">
      <c r="A48" s="11" t="s">
        <v>1853</v>
      </c>
      <c r="B48" s="677"/>
      <c r="C48" s="678"/>
      <c r="D48" s="676"/>
      <c r="E48" s="676"/>
      <c r="F48" s="676"/>
      <c r="G48" s="676"/>
      <c r="H48" s="676"/>
      <c r="I48" s="676"/>
      <c r="J48" s="676"/>
      <c r="K48" s="12"/>
    </row>
    <row r="49" spans="1:11" ht="13.5" customHeight="1">
      <c r="A49" s="11" t="s">
        <v>1854</v>
      </c>
      <c r="B49" s="677"/>
      <c r="C49" s="678"/>
      <c r="D49" s="676"/>
      <c r="E49" s="676"/>
      <c r="F49" s="676"/>
      <c r="G49" s="676"/>
      <c r="H49" s="676"/>
      <c r="I49" s="676"/>
      <c r="J49" s="676"/>
      <c r="K49" s="12"/>
    </row>
    <row r="50" spans="1:11" ht="13.5" customHeight="1">
      <c r="A50" s="11" t="s">
        <v>1855</v>
      </c>
      <c r="B50" s="677"/>
      <c r="C50" s="678"/>
      <c r="D50" s="676"/>
      <c r="E50" s="676"/>
      <c r="F50" s="676"/>
      <c r="G50" s="676"/>
      <c r="H50" s="676"/>
      <c r="I50" s="676"/>
      <c r="J50" s="676"/>
      <c r="K50" s="12"/>
    </row>
    <row r="51" spans="1:11" ht="13.5" customHeight="1">
      <c r="A51" s="11" t="s">
        <v>1856</v>
      </c>
      <c r="B51" s="677"/>
      <c r="C51" s="678"/>
      <c r="D51" s="676"/>
      <c r="E51" s="676"/>
      <c r="F51" s="676"/>
      <c r="G51" s="676"/>
      <c r="H51" s="676"/>
      <c r="I51" s="676"/>
      <c r="J51" s="676"/>
      <c r="K51" s="12"/>
    </row>
    <row r="52" spans="1:11" ht="13.5" customHeight="1">
      <c r="A52" s="11" t="s">
        <v>1857</v>
      </c>
      <c r="B52" s="677"/>
      <c r="C52" s="678"/>
      <c r="D52" s="676"/>
      <c r="E52" s="676"/>
      <c r="F52" s="676"/>
      <c r="G52" s="676"/>
      <c r="H52" s="676"/>
      <c r="I52" s="676"/>
      <c r="J52" s="676"/>
      <c r="K52" s="12"/>
    </row>
    <row r="53" spans="1:11" ht="13.5" customHeight="1">
      <c r="A53" s="11" t="s">
        <v>1858</v>
      </c>
      <c r="B53" s="677"/>
      <c r="C53" s="678"/>
      <c r="D53" s="676"/>
      <c r="E53" s="676"/>
      <c r="F53" s="676"/>
      <c r="G53" s="676"/>
      <c r="H53" s="676"/>
      <c r="I53" s="676"/>
      <c r="J53" s="676"/>
      <c r="K53" s="12"/>
    </row>
    <row r="54" spans="1:11" ht="13.5" customHeight="1">
      <c r="A54" s="11" t="s">
        <v>1859</v>
      </c>
      <c r="B54" s="677"/>
      <c r="C54" s="678"/>
      <c r="D54" s="676"/>
      <c r="E54" s="676"/>
      <c r="F54" s="676"/>
      <c r="G54" s="676"/>
      <c r="H54" s="676"/>
      <c r="I54" s="676"/>
      <c r="J54" s="676"/>
      <c r="K54" s="12"/>
    </row>
    <row r="55" spans="1:11" ht="13.5" customHeight="1">
      <c r="A55" s="11" t="s">
        <v>1860</v>
      </c>
      <c r="B55" s="677"/>
      <c r="C55" s="678"/>
      <c r="D55" s="676"/>
      <c r="E55" s="676"/>
      <c r="F55" s="676"/>
      <c r="G55" s="676"/>
      <c r="H55" s="676"/>
      <c r="I55" s="676"/>
      <c r="J55" s="676"/>
      <c r="K55" s="12"/>
    </row>
    <row r="56" spans="1:11" ht="13.5" customHeight="1">
      <c r="A56" s="11" t="s">
        <v>1861</v>
      </c>
      <c r="B56" s="677"/>
      <c r="C56" s="678"/>
      <c r="D56" s="676"/>
      <c r="E56" s="676"/>
      <c r="F56" s="676"/>
      <c r="G56" s="676"/>
      <c r="H56" s="676"/>
      <c r="I56" s="676"/>
      <c r="J56" s="676"/>
      <c r="K56" s="12"/>
    </row>
    <row r="57" spans="1:11" ht="13.5" customHeight="1">
      <c r="A57" s="11" t="s">
        <v>1862</v>
      </c>
      <c r="B57" s="677"/>
      <c r="C57" s="678"/>
      <c r="D57" s="676"/>
      <c r="E57" s="676"/>
      <c r="F57" s="676"/>
      <c r="G57" s="676"/>
      <c r="H57" s="676"/>
      <c r="I57" s="676"/>
      <c r="J57" s="676"/>
      <c r="K57" s="12"/>
    </row>
    <row r="58" spans="1:11" ht="13.5" customHeight="1">
      <c r="A58" s="11" t="s">
        <v>1863</v>
      </c>
      <c r="B58" s="677"/>
      <c r="C58" s="678"/>
      <c r="D58" s="676"/>
      <c r="E58" s="676"/>
      <c r="F58" s="676"/>
      <c r="G58" s="676"/>
      <c r="H58" s="676"/>
      <c r="I58" s="676"/>
      <c r="J58" s="676"/>
      <c r="K58" s="12"/>
    </row>
    <row r="59" spans="1:11" ht="13.5" customHeight="1">
      <c r="A59" s="11" t="s">
        <v>1864</v>
      </c>
      <c r="B59" s="677"/>
      <c r="C59" s="678"/>
      <c r="D59" s="676"/>
      <c r="E59" s="676"/>
      <c r="F59" s="676"/>
      <c r="G59" s="676"/>
      <c r="H59" s="676"/>
      <c r="I59" s="676"/>
      <c r="J59" s="676"/>
      <c r="K59" s="12"/>
    </row>
    <row r="60" spans="1:11" ht="13.5" customHeight="1">
      <c r="A60" s="11" t="s">
        <v>1865</v>
      </c>
      <c r="B60" s="677"/>
      <c r="C60" s="678"/>
      <c r="D60" s="676"/>
      <c r="E60" s="676"/>
      <c r="F60" s="676"/>
      <c r="G60" s="676"/>
      <c r="H60" s="676"/>
      <c r="I60" s="676"/>
      <c r="J60" s="676"/>
      <c r="K60" s="12"/>
    </row>
    <row r="61" spans="1:11" ht="13.5" customHeight="1">
      <c r="A61" s="11" t="s">
        <v>1866</v>
      </c>
      <c r="B61" s="677"/>
      <c r="C61" s="678"/>
      <c r="D61" s="676"/>
      <c r="E61" s="676"/>
      <c r="F61" s="676"/>
      <c r="G61" s="676"/>
      <c r="H61" s="676"/>
      <c r="I61" s="676"/>
      <c r="J61" s="676"/>
      <c r="K61" s="12"/>
    </row>
    <row r="62" spans="1:11" ht="13.5" customHeight="1">
      <c r="A62" s="11" t="s">
        <v>1867</v>
      </c>
      <c r="B62" s="677"/>
      <c r="C62" s="678"/>
      <c r="D62" s="676"/>
      <c r="E62" s="676"/>
      <c r="F62" s="676"/>
      <c r="G62" s="676"/>
      <c r="H62" s="676"/>
      <c r="I62" s="676"/>
      <c r="J62" s="676"/>
      <c r="K62" s="12"/>
    </row>
    <row r="63" spans="1:11" ht="13.5" customHeight="1">
      <c r="A63" s="11" t="s">
        <v>1868</v>
      </c>
      <c r="B63" s="677"/>
      <c r="C63" s="678"/>
      <c r="D63" s="676"/>
      <c r="E63" s="676"/>
      <c r="F63" s="676"/>
      <c r="G63" s="676"/>
      <c r="H63" s="676"/>
      <c r="I63" s="676"/>
      <c r="J63" s="676"/>
      <c r="K63" s="12"/>
    </row>
    <row r="64" spans="1:11" ht="13.5" customHeight="1">
      <c r="A64" s="11" t="s">
        <v>1869</v>
      </c>
      <c r="B64" s="677"/>
      <c r="C64" s="678"/>
      <c r="D64" s="676"/>
      <c r="E64" s="676"/>
      <c r="F64" s="676"/>
      <c r="G64" s="676"/>
      <c r="H64" s="676"/>
      <c r="I64" s="676"/>
      <c r="J64" s="676"/>
      <c r="K64" s="12"/>
    </row>
    <row r="65" spans="1:11" ht="13.5" customHeight="1">
      <c r="A65" s="11" t="s">
        <v>1870</v>
      </c>
      <c r="B65" s="677"/>
      <c r="C65" s="678"/>
      <c r="D65" s="676"/>
      <c r="E65" s="676"/>
      <c r="F65" s="676"/>
      <c r="G65" s="676"/>
      <c r="H65" s="676"/>
      <c r="I65" s="676"/>
      <c r="J65" s="676"/>
      <c r="K65" s="12"/>
    </row>
    <row r="66" spans="1:11" ht="13.5" customHeight="1">
      <c r="A66" s="11" t="s">
        <v>1871</v>
      </c>
      <c r="B66" s="677"/>
      <c r="C66" s="678"/>
      <c r="D66" s="676"/>
      <c r="E66" s="676"/>
      <c r="F66" s="676"/>
      <c r="G66" s="676"/>
      <c r="H66" s="676"/>
      <c r="I66" s="676"/>
      <c r="J66" s="676"/>
      <c r="K66" s="12"/>
    </row>
    <row r="67" spans="1:11" ht="13.5" customHeight="1">
      <c r="A67" s="11" t="s">
        <v>1872</v>
      </c>
      <c r="B67" s="677"/>
      <c r="C67" s="678"/>
      <c r="D67" s="676"/>
      <c r="E67" s="676"/>
      <c r="F67" s="676"/>
      <c r="G67" s="676"/>
      <c r="H67" s="676"/>
      <c r="I67" s="676"/>
      <c r="J67" s="676"/>
      <c r="K67" s="12"/>
    </row>
    <row r="68" spans="1:11" ht="13.5" customHeight="1">
      <c r="A68" s="11" t="s">
        <v>1873</v>
      </c>
      <c r="B68" s="677"/>
      <c r="C68" s="678"/>
      <c r="D68" s="676"/>
      <c r="E68" s="676"/>
      <c r="F68" s="676"/>
      <c r="G68" s="676"/>
      <c r="H68" s="676"/>
      <c r="I68" s="676"/>
      <c r="J68" s="676"/>
      <c r="K68" s="12"/>
    </row>
    <row r="69" spans="1:11" ht="13.5" customHeight="1">
      <c r="A69" s="11" t="s">
        <v>1874</v>
      </c>
      <c r="B69" s="677"/>
      <c r="C69" s="678"/>
      <c r="D69" s="676"/>
      <c r="E69" s="676"/>
      <c r="F69" s="676"/>
      <c r="G69" s="676"/>
      <c r="H69" s="676"/>
      <c r="I69" s="676"/>
      <c r="J69" s="676"/>
      <c r="K69" s="12"/>
    </row>
    <row r="70" spans="1:11" ht="13.5" customHeight="1">
      <c r="A70" s="11" t="s">
        <v>1875</v>
      </c>
      <c r="B70" s="677"/>
      <c r="C70" s="678"/>
      <c r="D70" s="676"/>
      <c r="E70" s="676"/>
      <c r="F70" s="676"/>
      <c r="G70" s="676"/>
      <c r="H70" s="676"/>
      <c r="I70" s="676"/>
      <c r="J70" s="676"/>
      <c r="K70" s="12"/>
    </row>
    <row r="71" spans="1:11" ht="13.5" customHeight="1">
      <c r="A71" s="11" t="s">
        <v>1876</v>
      </c>
      <c r="B71" s="677"/>
      <c r="C71" s="678"/>
      <c r="D71" s="676"/>
      <c r="E71" s="676"/>
      <c r="F71" s="676"/>
      <c r="G71" s="676"/>
      <c r="H71" s="676"/>
      <c r="I71" s="676"/>
      <c r="J71" s="676"/>
      <c r="K71" s="12"/>
    </row>
    <row r="72" spans="1:11" ht="13.5" customHeight="1">
      <c r="A72" s="11" t="s">
        <v>1877</v>
      </c>
      <c r="B72" s="677"/>
      <c r="C72" s="678"/>
      <c r="D72" s="676"/>
      <c r="E72" s="676"/>
      <c r="F72" s="676"/>
      <c r="G72" s="676"/>
      <c r="H72" s="676"/>
      <c r="I72" s="676"/>
      <c r="J72" s="676"/>
      <c r="K72" s="12"/>
    </row>
    <row r="73" spans="1:11" ht="13.5" customHeight="1">
      <c r="A73" s="11" t="s">
        <v>1878</v>
      </c>
      <c r="B73" s="677"/>
      <c r="C73" s="678"/>
      <c r="D73" s="676"/>
      <c r="E73" s="676"/>
      <c r="F73" s="676"/>
      <c r="G73" s="676"/>
      <c r="H73" s="676"/>
      <c r="I73" s="676"/>
      <c r="J73" s="676"/>
      <c r="K73" s="12"/>
    </row>
    <row r="74" spans="1:11" ht="13.5" customHeight="1">
      <c r="A74" s="11" t="s">
        <v>1879</v>
      </c>
      <c r="B74" s="677"/>
      <c r="C74" s="678"/>
      <c r="D74" s="676"/>
      <c r="E74" s="676"/>
      <c r="F74" s="676"/>
      <c r="G74" s="676"/>
      <c r="H74" s="676"/>
      <c r="I74" s="676"/>
      <c r="J74" s="676"/>
      <c r="K74" s="12"/>
    </row>
    <row r="75" spans="1:11" ht="13.5" customHeight="1">
      <c r="A75" s="11" t="s">
        <v>1880</v>
      </c>
      <c r="B75" s="677"/>
      <c r="C75" s="678"/>
      <c r="D75" s="676"/>
      <c r="E75" s="676"/>
      <c r="F75" s="676"/>
      <c r="G75" s="676"/>
      <c r="H75" s="676"/>
      <c r="I75" s="676"/>
      <c r="J75" s="676"/>
      <c r="K75" s="12"/>
    </row>
    <row r="76" spans="1:11" ht="13.5" customHeight="1">
      <c r="A76" s="11" t="s">
        <v>1881</v>
      </c>
      <c r="B76" s="677"/>
      <c r="C76" s="678"/>
      <c r="D76" s="676"/>
      <c r="E76" s="676"/>
      <c r="F76" s="676"/>
      <c r="G76" s="676"/>
      <c r="H76" s="676"/>
      <c r="I76" s="676"/>
      <c r="J76" s="676"/>
      <c r="K76" s="12"/>
    </row>
    <row r="77" spans="1:11" ht="13.5" customHeight="1">
      <c r="A77" s="11" t="s">
        <v>1882</v>
      </c>
      <c r="B77" s="677"/>
      <c r="C77" s="678"/>
      <c r="D77" s="676"/>
      <c r="E77" s="676"/>
      <c r="F77" s="676"/>
      <c r="G77" s="676"/>
      <c r="H77" s="676"/>
      <c r="I77" s="676"/>
      <c r="J77" s="676"/>
      <c r="K77" s="12"/>
    </row>
    <row r="78" spans="1:11" ht="13.5" customHeight="1">
      <c r="A78" s="11" t="s">
        <v>1883</v>
      </c>
      <c r="B78" s="677"/>
      <c r="C78" s="678"/>
      <c r="D78" s="676"/>
      <c r="E78" s="676"/>
      <c r="F78" s="676"/>
      <c r="G78" s="676"/>
      <c r="H78" s="676"/>
      <c r="I78" s="676"/>
      <c r="J78" s="676"/>
      <c r="K78" s="12"/>
    </row>
    <row r="79" spans="1:11" ht="13.5" customHeight="1">
      <c r="A79" s="11" t="s">
        <v>1884</v>
      </c>
      <c r="B79" s="677"/>
      <c r="C79" s="678"/>
      <c r="D79" s="676"/>
      <c r="E79" s="676"/>
      <c r="F79" s="676"/>
      <c r="G79" s="676"/>
      <c r="H79" s="676"/>
      <c r="I79" s="676"/>
      <c r="J79" s="676"/>
      <c r="K79" s="12"/>
    </row>
    <row r="80" spans="1:11" ht="13.5" customHeight="1">
      <c r="A80" s="11" t="s">
        <v>1885</v>
      </c>
      <c r="B80" s="677"/>
      <c r="C80" s="678"/>
      <c r="D80" s="676"/>
      <c r="E80" s="676"/>
      <c r="F80" s="676"/>
      <c r="G80" s="676"/>
      <c r="H80" s="676"/>
      <c r="I80" s="676"/>
      <c r="J80" s="676"/>
      <c r="K80" s="12"/>
    </row>
    <row r="81" spans="1:11" ht="13.5" customHeight="1">
      <c r="A81" s="11" t="s">
        <v>1886</v>
      </c>
      <c r="B81" s="677"/>
      <c r="C81" s="678"/>
      <c r="D81" s="676"/>
      <c r="E81" s="676"/>
      <c r="F81" s="676"/>
      <c r="G81" s="676"/>
      <c r="H81" s="676"/>
      <c r="I81" s="676"/>
      <c r="J81" s="676"/>
      <c r="K81" s="12"/>
    </row>
    <row r="82" spans="1:11" ht="13.5" customHeight="1">
      <c r="A82" s="11" t="s">
        <v>1887</v>
      </c>
      <c r="B82" s="677"/>
      <c r="C82" s="678"/>
      <c r="D82" s="676"/>
      <c r="E82" s="676"/>
      <c r="F82" s="676"/>
      <c r="G82" s="676"/>
      <c r="H82" s="676"/>
      <c r="I82" s="676"/>
      <c r="J82" s="676"/>
      <c r="K82" s="12"/>
    </row>
    <row r="83" spans="1:11" ht="13.5" customHeight="1">
      <c r="A83" s="11" t="s">
        <v>1888</v>
      </c>
      <c r="B83" s="677"/>
      <c r="C83" s="678"/>
      <c r="D83" s="676"/>
      <c r="E83" s="676"/>
      <c r="F83" s="676"/>
      <c r="G83" s="676"/>
      <c r="H83" s="676"/>
      <c r="I83" s="676"/>
      <c r="J83" s="676"/>
      <c r="K83" s="12"/>
    </row>
    <row r="84" spans="1:11" ht="13.5" customHeight="1">
      <c r="A84" s="11" t="s">
        <v>1889</v>
      </c>
      <c r="B84" s="677"/>
      <c r="C84" s="678"/>
      <c r="D84" s="676"/>
      <c r="E84" s="676"/>
      <c r="F84" s="676"/>
      <c r="G84" s="676"/>
      <c r="H84" s="676"/>
      <c r="I84" s="676"/>
      <c r="J84" s="676"/>
      <c r="K84" s="12"/>
    </row>
    <row r="85" spans="1:11" ht="13.5" customHeight="1">
      <c r="A85" s="11" t="s">
        <v>1890</v>
      </c>
      <c r="B85" s="677"/>
      <c r="C85" s="678"/>
      <c r="D85" s="676"/>
      <c r="E85" s="676"/>
      <c r="F85" s="676"/>
      <c r="G85" s="676"/>
      <c r="H85" s="676"/>
      <c r="I85" s="676"/>
      <c r="J85" s="676"/>
      <c r="K85" s="12"/>
    </row>
    <row r="86" spans="1:11" ht="13.5" customHeight="1">
      <c r="A86" s="11" t="s">
        <v>1891</v>
      </c>
      <c r="B86" s="677"/>
      <c r="C86" s="678"/>
      <c r="D86" s="676"/>
      <c r="E86" s="676"/>
      <c r="F86" s="676"/>
      <c r="G86" s="676"/>
      <c r="H86" s="676"/>
      <c r="I86" s="676"/>
      <c r="J86" s="676"/>
      <c r="K86" s="12"/>
    </row>
    <row r="87" spans="1:11" ht="13.5" customHeight="1">
      <c r="A87" s="11" t="s">
        <v>1892</v>
      </c>
      <c r="B87" s="677"/>
      <c r="C87" s="678"/>
      <c r="D87" s="676"/>
      <c r="E87" s="676"/>
      <c r="F87" s="676"/>
      <c r="G87" s="676"/>
      <c r="H87" s="676"/>
      <c r="I87" s="676"/>
      <c r="J87" s="676"/>
      <c r="K87" s="12"/>
    </row>
    <row r="88" spans="1:11" ht="13.5" customHeight="1">
      <c r="A88" s="11" t="s">
        <v>1893</v>
      </c>
      <c r="B88" s="677"/>
      <c r="C88" s="678"/>
      <c r="D88" s="676"/>
      <c r="E88" s="676"/>
      <c r="F88" s="676"/>
      <c r="G88" s="676"/>
      <c r="H88" s="676"/>
      <c r="I88" s="676"/>
      <c r="J88" s="676"/>
      <c r="K88" s="12"/>
    </row>
    <row r="89" spans="1:11" ht="13.5" customHeight="1">
      <c r="A89" s="11" t="s">
        <v>1894</v>
      </c>
      <c r="B89" s="677"/>
      <c r="C89" s="678"/>
      <c r="D89" s="676"/>
      <c r="E89" s="676"/>
      <c r="F89" s="676"/>
      <c r="G89" s="676"/>
      <c r="H89" s="676"/>
      <c r="I89" s="676"/>
      <c r="J89" s="676"/>
      <c r="K89" s="12"/>
    </row>
    <row r="90" spans="1:11" ht="13.5" customHeight="1">
      <c r="A90" s="11" t="s">
        <v>1895</v>
      </c>
      <c r="B90" s="677"/>
      <c r="C90" s="678"/>
      <c r="D90" s="676"/>
      <c r="E90" s="676"/>
      <c r="F90" s="676"/>
      <c r="G90" s="676"/>
      <c r="H90" s="676"/>
      <c r="I90" s="676"/>
      <c r="J90" s="676"/>
      <c r="K90" s="12"/>
    </row>
    <row r="91" spans="1:11" ht="13.5" customHeight="1">
      <c r="A91" s="11" t="s">
        <v>1896</v>
      </c>
      <c r="B91" s="677"/>
      <c r="C91" s="678"/>
      <c r="D91" s="676"/>
      <c r="E91" s="676"/>
      <c r="F91" s="676"/>
      <c r="G91" s="676"/>
      <c r="H91" s="676"/>
      <c r="I91" s="676"/>
      <c r="J91" s="676"/>
      <c r="K91" s="12"/>
    </row>
    <row r="92" spans="1:11" ht="13.5" customHeight="1">
      <c r="A92" s="11" t="s">
        <v>1897</v>
      </c>
      <c r="B92" s="677"/>
      <c r="C92" s="678"/>
      <c r="D92" s="676"/>
      <c r="E92" s="676"/>
      <c r="F92" s="676"/>
      <c r="G92" s="676"/>
      <c r="H92" s="676"/>
      <c r="I92" s="676"/>
      <c r="J92" s="676"/>
      <c r="K92" s="12"/>
    </row>
    <row r="93" spans="1:11" ht="13.5" customHeight="1">
      <c r="A93" s="11" t="s">
        <v>1898</v>
      </c>
      <c r="B93" s="677"/>
      <c r="C93" s="678"/>
      <c r="D93" s="676"/>
      <c r="E93" s="676"/>
      <c r="F93" s="676"/>
      <c r="G93" s="676"/>
      <c r="H93" s="676"/>
      <c r="I93" s="676"/>
      <c r="J93" s="676"/>
      <c r="K93" s="12"/>
    </row>
    <row r="94" spans="1:11" ht="13.5" customHeight="1">
      <c r="A94" s="11" t="s">
        <v>1899</v>
      </c>
      <c r="B94" s="677"/>
      <c r="C94" s="678"/>
      <c r="D94" s="676"/>
      <c r="E94" s="676"/>
      <c r="F94" s="676"/>
      <c r="G94" s="676"/>
      <c r="H94" s="676"/>
      <c r="I94" s="676"/>
      <c r="J94" s="676"/>
      <c r="K94" s="12"/>
    </row>
    <row r="95" spans="1:11" ht="13.5" customHeight="1">
      <c r="A95" s="11" t="s">
        <v>1900</v>
      </c>
      <c r="B95" s="677"/>
      <c r="C95" s="678"/>
      <c r="D95" s="676"/>
      <c r="E95" s="676"/>
      <c r="F95" s="676"/>
      <c r="G95" s="676"/>
      <c r="H95" s="676"/>
      <c r="I95" s="676"/>
      <c r="J95" s="676"/>
      <c r="K95" s="12"/>
    </row>
    <row r="96" spans="1:11" ht="13.5" customHeight="1">
      <c r="A96" s="11" t="s">
        <v>1901</v>
      </c>
      <c r="B96" s="677"/>
      <c r="C96" s="678"/>
      <c r="D96" s="676"/>
      <c r="E96" s="676"/>
      <c r="F96" s="676"/>
      <c r="G96" s="676"/>
      <c r="H96" s="676"/>
      <c r="I96" s="676"/>
      <c r="J96" s="676"/>
      <c r="K96" s="12"/>
    </row>
    <row r="97" spans="1:11" ht="13.5" customHeight="1">
      <c r="A97" s="11" t="s">
        <v>1902</v>
      </c>
      <c r="B97" s="677"/>
      <c r="C97" s="678"/>
      <c r="D97" s="676"/>
      <c r="E97" s="676"/>
      <c r="F97" s="676"/>
      <c r="G97" s="676"/>
      <c r="H97" s="676"/>
      <c r="I97" s="676"/>
      <c r="J97" s="676"/>
      <c r="K97" s="12"/>
    </row>
    <row r="98" spans="1:11" ht="13.5" customHeight="1">
      <c r="A98" s="11" t="s">
        <v>1903</v>
      </c>
      <c r="B98" s="677"/>
      <c r="C98" s="678"/>
      <c r="D98" s="676"/>
      <c r="E98" s="676"/>
      <c r="F98" s="676"/>
      <c r="G98" s="676"/>
      <c r="H98" s="676"/>
      <c r="I98" s="676"/>
      <c r="J98" s="676"/>
      <c r="K98" s="12"/>
    </row>
    <row r="99" spans="1:11" ht="13.5" customHeight="1">
      <c r="A99" s="11" t="s">
        <v>1904</v>
      </c>
      <c r="B99" s="677"/>
      <c r="C99" s="678"/>
      <c r="D99" s="676"/>
      <c r="E99" s="676"/>
      <c r="F99" s="676"/>
      <c r="G99" s="676"/>
      <c r="H99" s="676"/>
      <c r="I99" s="676"/>
      <c r="J99" s="676"/>
      <c r="K99" s="12"/>
    </row>
    <row r="100" spans="1:11" ht="13.5" customHeight="1">
      <c r="A100" s="11" t="s">
        <v>1905</v>
      </c>
      <c r="B100" s="677"/>
      <c r="C100" s="678"/>
      <c r="D100" s="676"/>
      <c r="E100" s="676"/>
      <c r="F100" s="676"/>
      <c r="G100" s="676"/>
      <c r="H100" s="676"/>
      <c r="I100" s="676"/>
      <c r="J100" s="676"/>
      <c r="K100" s="12"/>
    </row>
    <row r="101" spans="1:11" ht="13.5" customHeight="1">
      <c r="A101" s="11" t="s">
        <v>1906</v>
      </c>
      <c r="B101" s="677"/>
      <c r="C101" s="678"/>
      <c r="D101" s="676"/>
      <c r="E101" s="676"/>
      <c r="F101" s="676"/>
      <c r="G101" s="676"/>
      <c r="H101" s="676"/>
      <c r="I101" s="676"/>
      <c r="J101" s="676"/>
      <c r="K101" s="12"/>
    </row>
    <row r="102" spans="1:11" ht="13.5" customHeight="1">
      <c r="A102" s="11" t="s">
        <v>1907</v>
      </c>
      <c r="B102" s="677"/>
      <c r="C102" s="678"/>
      <c r="D102" s="676"/>
      <c r="E102" s="676"/>
      <c r="F102" s="676"/>
      <c r="G102" s="676"/>
      <c r="H102" s="676"/>
      <c r="I102" s="676"/>
      <c r="J102" s="676"/>
      <c r="K102" s="12"/>
    </row>
    <row r="103" spans="1:11" ht="13.5" customHeight="1">
      <c r="A103" s="11" t="s">
        <v>1908</v>
      </c>
      <c r="B103" s="677"/>
      <c r="C103" s="678"/>
      <c r="D103" s="676"/>
      <c r="E103" s="676"/>
      <c r="F103" s="676"/>
      <c r="G103" s="676"/>
      <c r="H103" s="676"/>
      <c r="I103" s="676"/>
      <c r="J103" s="676"/>
      <c r="K103" s="12"/>
    </row>
    <row r="104" spans="1:11" ht="13.5" customHeight="1">
      <c r="A104" s="11" t="s">
        <v>1909</v>
      </c>
      <c r="B104" s="677"/>
      <c r="C104" s="678"/>
      <c r="D104" s="676"/>
      <c r="E104" s="676"/>
      <c r="F104" s="676"/>
      <c r="G104" s="676"/>
      <c r="H104" s="676"/>
      <c r="I104" s="676"/>
      <c r="J104" s="676"/>
      <c r="K104" s="12"/>
    </row>
    <row r="105" spans="1:11" ht="13.5" customHeight="1">
      <c r="A105" s="11" t="s">
        <v>1910</v>
      </c>
      <c r="B105" s="677"/>
      <c r="C105" s="678"/>
      <c r="D105" s="676"/>
      <c r="E105" s="676"/>
      <c r="F105" s="676"/>
      <c r="G105" s="676"/>
      <c r="H105" s="676"/>
      <c r="I105" s="676"/>
      <c r="J105" s="676"/>
      <c r="K105" s="12"/>
    </row>
    <row r="106" spans="1:11" ht="13.5" customHeight="1">
      <c r="A106" s="11" t="s">
        <v>1911</v>
      </c>
      <c r="B106" s="677"/>
      <c r="C106" s="678"/>
      <c r="D106" s="676"/>
      <c r="E106" s="676"/>
      <c r="F106" s="676"/>
      <c r="G106" s="676"/>
      <c r="H106" s="676"/>
      <c r="I106" s="676"/>
      <c r="J106" s="676"/>
      <c r="K106" s="12"/>
    </row>
    <row r="107" spans="1:11" ht="13.5" customHeight="1">
      <c r="A107" s="11" t="s">
        <v>1912</v>
      </c>
      <c r="B107" s="677"/>
      <c r="C107" s="678"/>
      <c r="D107" s="676"/>
      <c r="E107" s="676"/>
      <c r="F107" s="676"/>
      <c r="G107" s="676"/>
      <c r="H107" s="676"/>
      <c r="I107" s="676"/>
      <c r="J107" s="676"/>
      <c r="K107" s="12"/>
    </row>
    <row r="108" spans="1:11" ht="13.5" customHeight="1">
      <c r="A108" s="11" t="s">
        <v>1913</v>
      </c>
      <c r="B108" s="677"/>
      <c r="C108" s="678"/>
      <c r="D108" s="676"/>
      <c r="E108" s="676"/>
      <c r="F108" s="676"/>
      <c r="G108" s="676"/>
      <c r="H108" s="676"/>
      <c r="I108" s="676"/>
      <c r="J108" s="676"/>
      <c r="K108" s="12"/>
    </row>
    <row r="109" ht="4.5" customHeight="1"/>
  </sheetData>
  <sheetProtection password="C79A" sheet="1" objects="1"/>
  <mergeCells count="312">
    <mergeCell ref="I107:J107"/>
    <mergeCell ref="I103:J103"/>
    <mergeCell ref="B104:C104"/>
    <mergeCell ref="D104:H104"/>
    <mergeCell ref="I104:J104"/>
    <mergeCell ref="I105:J105"/>
    <mergeCell ref="B108:C108"/>
    <mergeCell ref="D108:H108"/>
    <mergeCell ref="I108:J108"/>
    <mergeCell ref="B106:C106"/>
    <mergeCell ref="D106:H106"/>
    <mergeCell ref="B105:C105"/>
    <mergeCell ref="D105:H105"/>
    <mergeCell ref="I106:J106"/>
    <mergeCell ref="B107:C107"/>
    <mergeCell ref="D107:H107"/>
    <mergeCell ref="B101:C101"/>
    <mergeCell ref="D101:H101"/>
    <mergeCell ref="B103:C103"/>
    <mergeCell ref="D103:H103"/>
    <mergeCell ref="B100:C100"/>
    <mergeCell ref="D100:H100"/>
    <mergeCell ref="I100:J100"/>
    <mergeCell ref="I101:J101"/>
    <mergeCell ref="B102:C102"/>
    <mergeCell ref="D102:H102"/>
    <mergeCell ref="I102:J102"/>
    <mergeCell ref="B98:C98"/>
    <mergeCell ref="D98:H98"/>
    <mergeCell ref="I98:J98"/>
    <mergeCell ref="B99:C99"/>
    <mergeCell ref="D99:H99"/>
    <mergeCell ref="I99:J99"/>
    <mergeCell ref="B96:C96"/>
    <mergeCell ref="D96:H96"/>
    <mergeCell ref="I96:J96"/>
    <mergeCell ref="B97:C97"/>
    <mergeCell ref="D97:H97"/>
    <mergeCell ref="I97:J97"/>
    <mergeCell ref="B94:C94"/>
    <mergeCell ref="D94:H94"/>
    <mergeCell ref="I94:J94"/>
    <mergeCell ref="B95:C95"/>
    <mergeCell ref="D95:H95"/>
    <mergeCell ref="I95:J95"/>
    <mergeCell ref="B92:C92"/>
    <mergeCell ref="D92:H92"/>
    <mergeCell ref="I92:J92"/>
    <mergeCell ref="B93:C93"/>
    <mergeCell ref="D93:H93"/>
    <mergeCell ref="I93:J93"/>
    <mergeCell ref="B90:C90"/>
    <mergeCell ref="D90:H90"/>
    <mergeCell ref="I90:J90"/>
    <mergeCell ref="B91:C91"/>
    <mergeCell ref="D91:H91"/>
    <mergeCell ref="I91:J91"/>
    <mergeCell ref="B88:C88"/>
    <mergeCell ref="D88:H88"/>
    <mergeCell ref="I88:J88"/>
    <mergeCell ref="B89:C89"/>
    <mergeCell ref="D89:H89"/>
    <mergeCell ref="I89:J89"/>
    <mergeCell ref="B86:C86"/>
    <mergeCell ref="D86:H86"/>
    <mergeCell ref="I86:J86"/>
    <mergeCell ref="B87:C87"/>
    <mergeCell ref="D87:H87"/>
    <mergeCell ref="I87:J87"/>
    <mergeCell ref="B84:C84"/>
    <mergeCell ref="D84:H84"/>
    <mergeCell ref="I84:J84"/>
    <mergeCell ref="B85:C85"/>
    <mergeCell ref="D85:H85"/>
    <mergeCell ref="I85:J85"/>
    <mergeCell ref="B82:C82"/>
    <mergeCell ref="D82:H82"/>
    <mergeCell ref="I82:J82"/>
    <mergeCell ref="B83:C83"/>
    <mergeCell ref="D83:H83"/>
    <mergeCell ref="I83:J83"/>
    <mergeCell ref="B80:C80"/>
    <mergeCell ref="D80:H80"/>
    <mergeCell ref="I80:J80"/>
    <mergeCell ref="B81:C81"/>
    <mergeCell ref="D81:H81"/>
    <mergeCell ref="I81:J81"/>
    <mergeCell ref="B78:C78"/>
    <mergeCell ref="D78:H78"/>
    <mergeCell ref="I78:J78"/>
    <mergeCell ref="B79:C79"/>
    <mergeCell ref="D79:H79"/>
    <mergeCell ref="I79:J79"/>
    <mergeCell ref="B76:C76"/>
    <mergeCell ref="D76:H76"/>
    <mergeCell ref="I76:J76"/>
    <mergeCell ref="B77:C77"/>
    <mergeCell ref="D77:H77"/>
    <mergeCell ref="I77:J77"/>
    <mergeCell ref="B74:C74"/>
    <mergeCell ref="D74:H74"/>
    <mergeCell ref="I74:J74"/>
    <mergeCell ref="B75:C75"/>
    <mergeCell ref="D75:H75"/>
    <mergeCell ref="I75:J75"/>
    <mergeCell ref="B72:C72"/>
    <mergeCell ref="D72:H72"/>
    <mergeCell ref="I72:J72"/>
    <mergeCell ref="B73:C73"/>
    <mergeCell ref="D73:H73"/>
    <mergeCell ref="I73:J73"/>
    <mergeCell ref="B70:C70"/>
    <mergeCell ref="D70:H70"/>
    <mergeCell ref="I70:J70"/>
    <mergeCell ref="B71:C71"/>
    <mergeCell ref="D71:H71"/>
    <mergeCell ref="I71:J71"/>
    <mergeCell ref="B68:C68"/>
    <mergeCell ref="D68:H68"/>
    <mergeCell ref="I68:J68"/>
    <mergeCell ref="B69:C69"/>
    <mergeCell ref="D69:H69"/>
    <mergeCell ref="I69:J69"/>
    <mergeCell ref="B66:C66"/>
    <mergeCell ref="D66:H66"/>
    <mergeCell ref="I66:J66"/>
    <mergeCell ref="B67:C67"/>
    <mergeCell ref="D67:H67"/>
    <mergeCell ref="I67:J67"/>
    <mergeCell ref="B64:C64"/>
    <mergeCell ref="D64:H64"/>
    <mergeCell ref="I64:J64"/>
    <mergeCell ref="B65:C65"/>
    <mergeCell ref="D65:H65"/>
    <mergeCell ref="I65:J65"/>
    <mergeCell ref="B62:C62"/>
    <mergeCell ref="D62:H62"/>
    <mergeCell ref="I62:J62"/>
    <mergeCell ref="B63:C63"/>
    <mergeCell ref="D63:H63"/>
    <mergeCell ref="I63:J63"/>
    <mergeCell ref="B60:C60"/>
    <mergeCell ref="D60:H60"/>
    <mergeCell ref="I60:J60"/>
    <mergeCell ref="B61:C61"/>
    <mergeCell ref="D61:H61"/>
    <mergeCell ref="I61:J61"/>
    <mergeCell ref="B58:C58"/>
    <mergeCell ref="D58:H58"/>
    <mergeCell ref="I58:J58"/>
    <mergeCell ref="B59:C59"/>
    <mergeCell ref="D59:H59"/>
    <mergeCell ref="I59:J59"/>
    <mergeCell ref="B56:C56"/>
    <mergeCell ref="D56:H56"/>
    <mergeCell ref="I56:J56"/>
    <mergeCell ref="B57:C57"/>
    <mergeCell ref="D57:H57"/>
    <mergeCell ref="I57:J57"/>
    <mergeCell ref="B54:C54"/>
    <mergeCell ref="D54:H54"/>
    <mergeCell ref="I54:J54"/>
    <mergeCell ref="B55:C55"/>
    <mergeCell ref="D55:H55"/>
    <mergeCell ref="I55:J55"/>
    <mergeCell ref="B52:C52"/>
    <mergeCell ref="D52:H52"/>
    <mergeCell ref="I52:J52"/>
    <mergeCell ref="B53:C53"/>
    <mergeCell ref="D53:H53"/>
    <mergeCell ref="I53:J53"/>
    <mergeCell ref="B50:C50"/>
    <mergeCell ref="D50:H50"/>
    <mergeCell ref="I50:J50"/>
    <mergeCell ref="B51:C51"/>
    <mergeCell ref="D51:H51"/>
    <mergeCell ref="I51:J51"/>
    <mergeCell ref="B48:C48"/>
    <mergeCell ref="D48:H48"/>
    <mergeCell ref="I48:J48"/>
    <mergeCell ref="B49:C49"/>
    <mergeCell ref="D49:H49"/>
    <mergeCell ref="I49:J49"/>
    <mergeCell ref="B46:C46"/>
    <mergeCell ref="D46:H46"/>
    <mergeCell ref="I46:J46"/>
    <mergeCell ref="B47:C47"/>
    <mergeCell ref="D47:H47"/>
    <mergeCell ref="I47:J47"/>
    <mergeCell ref="B44:C44"/>
    <mergeCell ref="D44:H44"/>
    <mergeCell ref="I44:J44"/>
    <mergeCell ref="B45:C45"/>
    <mergeCell ref="D45:H45"/>
    <mergeCell ref="I45:J45"/>
    <mergeCell ref="B42:C42"/>
    <mergeCell ref="D42:H42"/>
    <mergeCell ref="I42:J42"/>
    <mergeCell ref="B43:C43"/>
    <mergeCell ref="D43:H43"/>
    <mergeCell ref="I43:J43"/>
    <mergeCell ref="B40:C40"/>
    <mergeCell ref="D40:H40"/>
    <mergeCell ref="I40:J40"/>
    <mergeCell ref="B41:C41"/>
    <mergeCell ref="D41:H41"/>
    <mergeCell ref="I41:J41"/>
    <mergeCell ref="B38:C38"/>
    <mergeCell ref="D38:H38"/>
    <mergeCell ref="I38:J38"/>
    <mergeCell ref="B39:C39"/>
    <mergeCell ref="D39:H39"/>
    <mergeCell ref="I39:J39"/>
    <mergeCell ref="B36:C36"/>
    <mergeCell ref="D36:H36"/>
    <mergeCell ref="I36:J36"/>
    <mergeCell ref="B37:C37"/>
    <mergeCell ref="D37:H37"/>
    <mergeCell ref="I37:J37"/>
    <mergeCell ref="B34:C34"/>
    <mergeCell ref="D34:H34"/>
    <mergeCell ref="I34:J34"/>
    <mergeCell ref="B35:C35"/>
    <mergeCell ref="D35:H35"/>
    <mergeCell ref="I35:J35"/>
    <mergeCell ref="B32:C32"/>
    <mergeCell ref="D32:H32"/>
    <mergeCell ref="I32:J32"/>
    <mergeCell ref="B33:C33"/>
    <mergeCell ref="D33:H33"/>
    <mergeCell ref="I33:J33"/>
    <mergeCell ref="B30:C30"/>
    <mergeCell ref="D30:H30"/>
    <mergeCell ref="I30:J30"/>
    <mergeCell ref="B31:C31"/>
    <mergeCell ref="D31:H31"/>
    <mergeCell ref="I31:J31"/>
    <mergeCell ref="B28:C28"/>
    <mergeCell ref="D28:H28"/>
    <mergeCell ref="I28:J28"/>
    <mergeCell ref="B29:C29"/>
    <mergeCell ref="D29:H29"/>
    <mergeCell ref="I29:J29"/>
    <mergeCell ref="B26:C26"/>
    <mergeCell ref="D26:H26"/>
    <mergeCell ref="I26:J26"/>
    <mergeCell ref="B27:C27"/>
    <mergeCell ref="D27:H27"/>
    <mergeCell ref="I27:J27"/>
    <mergeCell ref="B24:C24"/>
    <mergeCell ref="D24:H24"/>
    <mergeCell ref="I24:J24"/>
    <mergeCell ref="B25:C25"/>
    <mergeCell ref="D25:H25"/>
    <mergeCell ref="I25:J25"/>
    <mergeCell ref="B22:C22"/>
    <mergeCell ref="D22:H22"/>
    <mergeCell ref="I22:J22"/>
    <mergeCell ref="B23:C23"/>
    <mergeCell ref="D23:H23"/>
    <mergeCell ref="I23:J23"/>
    <mergeCell ref="B20:C20"/>
    <mergeCell ref="D20:H20"/>
    <mergeCell ref="I20:J20"/>
    <mergeCell ref="B21:C21"/>
    <mergeCell ref="D21:H21"/>
    <mergeCell ref="I21:J21"/>
    <mergeCell ref="B18:C18"/>
    <mergeCell ref="D18:H18"/>
    <mergeCell ref="D16:H16"/>
    <mergeCell ref="I18:J18"/>
    <mergeCell ref="B19:C19"/>
    <mergeCell ref="D19:H19"/>
    <mergeCell ref="I19:J19"/>
    <mergeCell ref="A4:K4"/>
    <mergeCell ref="A6:K6"/>
    <mergeCell ref="I16:J16"/>
    <mergeCell ref="B17:C17"/>
    <mergeCell ref="D17:H17"/>
    <mergeCell ref="I17:J17"/>
    <mergeCell ref="B16:C16"/>
    <mergeCell ref="B13:C13"/>
    <mergeCell ref="D13:H13"/>
    <mergeCell ref="B10:C10"/>
    <mergeCell ref="B9:C9"/>
    <mergeCell ref="D11:H11"/>
    <mergeCell ref="I11:J11"/>
    <mergeCell ref="D9:H9"/>
    <mergeCell ref="I9:J9"/>
    <mergeCell ref="D10:H10"/>
    <mergeCell ref="I10:J10"/>
    <mergeCell ref="B11:C11"/>
    <mergeCell ref="D12:H12"/>
    <mergeCell ref="I12:J12"/>
    <mergeCell ref="B14:C14"/>
    <mergeCell ref="B15:C15"/>
    <mergeCell ref="I13:J13"/>
    <mergeCell ref="D14:H14"/>
    <mergeCell ref="I14:J14"/>
    <mergeCell ref="D15:H15"/>
    <mergeCell ref="I15:J15"/>
    <mergeCell ref="B12:C12"/>
    <mergeCell ref="A1:B2"/>
    <mergeCell ref="I8:J8"/>
    <mergeCell ref="D8:H8"/>
    <mergeCell ref="B8:C8"/>
    <mergeCell ref="A7:A8"/>
    <mergeCell ref="A3:K3"/>
    <mergeCell ref="I7:J7"/>
    <mergeCell ref="A5:K5"/>
    <mergeCell ref="D7:H7"/>
    <mergeCell ref="B7:C7"/>
  </mergeCells>
  <dataValidations count="3">
    <dataValidation type="whole" allowBlank="1" showInputMessage="1" showErrorMessage="1" errorTitle="Neispravan postotak udjela" error="Obveznik može konsolidirati tvrtku u kojoj ima većinski udio ili kontrolni paket dionica, zbog toga postotak vlasništva ne može biti manji od 10 i veći od 100% (znak postotka ne unosite)" sqref="K9:K108">
      <formula1>10</formula1>
      <formula2>100</formula2>
    </dataValidation>
    <dataValidation type="whole" allowBlank="1" showInputMessage="1" showErrorMessage="1" errorTitle="Neispravan matični broj" error="Za tvrtke iz Republike Hrvatske upisuje se matični broj DZS-a, dok za tvrtke izvan Hrvatske polje ostavite prazno." sqref="B9:C108">
      <formula1>123455</formula1>
      <formula2>99999999</formula2>
    </dataValidation>
    <dataValidation type="textLength" allowBlank="1" showInputMessage="1" showErrorMessage="1" errorTitle="Predug ili prekratak naziv" error="Naziv poslovnog subjekta konsolidacije mora imati barem 2, a najviše 150 slovnih mjesta" sqref="D9:H108">
      <formula1>2</formula1>
      <formula2>150</formula2>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AH32"/>
  <sheetViews>
    <sheetView showGridLines="0" showRowColHeaders="0" zoomScalePageLayoutView="0" workbookViewId="0" topLeftCell="A1">
      <pane ySplit="3" topLeftCell="A4" activePane="bottomLeft" state="frozen"/>
      <selection pane="topLeft" activeCell="A1" sqref="A1"/>
      <selection pane="bottomLeft" activeCell="A1" sqref="A1:B2"/>
    </sheetView>
  </sheetViews>
  <sheetFormatPr defaultColWidth="0" defaultRowHeight="12.75" zeroHeight="1"/>
  <cols>
    <col min="1" max="1" width="4.28125" style="0" customWidth="1"/>
    <col min="2" max="2" width="12.7109375" style="0" customWidth="1"/>
    <col min="3" max="5" width="10.7109375" style="0" customWidth="1"/>
    <col min="6" max="10" width="11.7109375" style="0" customWidth="1"/>
    <col min="11" max="11" width="0.85546875" style="0" customWidth="1"/>
    <col min="12" max="19" width="5.7109375" style="0" hidden="1" customWidth="1"/>
    <col min="20" max="16384" width="9.140625" style="0" hidden="1" customWidth="1"/>
  </cols>
  <sheetData>
    <row r="1" spans="1:13" ht="19.5" customHeight="1">
      <c r="A1" s="320" t="s">
        <v>1801</v>
      </c>
      <c r="B1" s="321"/>
      <c r="C1" s="88" t="s">
        <v>396</v>
      </c>
      <c r="D1" s="85" t="s">
        <v>1802</v>
      </c>
      <c r="E1" s="85" t="s">
        <v>305</v>
      </c>
      <c r="F1" s="106" t="s">
        <v>1792</v>
      </c>
      <c r="G1" s="85" t="s">
        <v>397</v>
      </c>
      <c r="H1" s="106" t="s">
        <v>398</v>
      </c>
      <c r="I1" s="85" t="s">
        <v>306</v>
      </c>
      <c r="J1" s="86" t="s">
        <v>399</v>
      </c>
      <c r="M1" s="3">
        <f>SUM(L5:L30)</f>
        <v>0</v>
      </c>
    </row>
    <row r="2" spans="1:24" s="3" customFormat="1" ht="19.5" customHeight="1" thickBot="1">
      <c r="A2" s="322"/>
      <c r="B2" s="323"/>
      <c r="C2" s="89" t="s">
        <v>1803</v>
      </c>
      <c r="D2" s="90" t="s">
        <v>308</v>
      </c>
      <c r="E2" s="90" t="s">
        <v>1804</v>
      </c>
      <c r="F2" s="90" t="s">
        <v>307</v>
      </c>
      <c r="G2" s="90" t="s">
        <v>401</v>
      </c>
      <c r="H2" s="91" t="s">
        <v>402</v>
      </c>
      <c r="I2" s="87"/>
      <c r="J2" s="87"/>
      <c r="T2"/>
      <c r="U2"/>
      <c r="V2"/>
      <c r="W2"/>
      <c r="X2"/>
    </row>
    <row r="3" spans="1:10" ht="30" customHeight="1">
      <c r="A3" s="689" t="s">
        <v>236</v>
      </c>
      <c r="B3" s="689"/>
      <c r="C3" s="689" t="s">
        <v>902</v>
      </c>
      <c r="D3" s="689"/>
      <c r="E3" s="689"/>
      <c r="F3" s="689"/>
      <c r="G3" s="689"/>
      <c r="H3" s="689"/>
      <c r="I3" s="689"/>
      <c r="J3" s="689"/>
    </row>
    <row r="4" spans="1:15" ht="19.5" customHeight="1">
      <c r="A4" s="693" t="s">
        <v>903</v>
      </c>
      <c r="B4" s="694"/>
      <c r="C4" s="694"/>
      <c r="D4" s="694"/>
      <c r="E4" s="694"/>
      <c r="F4" s="694"/>
      <c r="G4" s="694"/>
      <c r="H4" s="694"/>
      <c r="I4" s="694"/>
      <c r="J4" s="695"/>
      <c r="L4" s="28"/>
      <c r="M4" s="28"/>
      <c r="N4" s="28"/>
      <c r="O4" s="28"/>
    </row>
    <row r="5" spans="1:14" ht="30" customHeight="1">
      <c r="A5" s="107" t="s">
        <v>1140</v>
      </c>
      <c r="B5" s="108" t="str">
        <f aca="true" t="shared" si="0" ref="B5:B14">IF(L5=0,"Ispravno","Nije ispravno")</f>
        <v>Ispravno</v>
      </c>
      <c r="C5" s="690" t="s">
        <v>701</v>
      </c>
      <c r="D5" s="691"/>
      <c r="E5" s="691"/>
      <c r="F5" s="691"/>
      <c r="G5" s="691"/>
      <c r="H5" s="691"/>
      <c r="I5" s="691"/>
      <c r="J5" s="692"/>
      <c r="L5" s="28">
        <f>IF(OR(M5&gt;1,N5&gt;1),1,0)</f>
        <v>0</v>
      </c>
      <c r="M5" s="28">
        <f>ABS(Bilanca!K26-Bilanca!K55)</f>
        <v>0</v>
      </c>
      <c r="N5" s="28">
        <f>ABS(Bilanca!L26-Bilanca!L55)</f>
        <v>0</v>
      </c>
    </row>
    <row r="6" spans="1:14" ht="18" customHeight="1">
      <c r="A6" s="107" t="s">
        <v>1562</v>
      </c>
      <c r="B6" s="108" t="str">
        <f t="shared" si="0"/>
        <v>Ispravno</v>
      </c>
      <c r="C6" s="690" t="s">
        <v>1204</v>
      </c>
      <c r="D6" s="691"/>
      <c r="E6" s="691"/>
      <c r="F6" s="691"/>
      <c r="G6" s="691"/>
      <c r="H6" s="691"/>
      <c r="I6" s="691"/>
      <c r="J6" s="692"/>
      <c r="L6" s="28">
        <f>IF(M6&lt;0,1,0)</f>
        <v>0</v>
      </c>
      <c r="M6" s="114">
        <f>MIN(Bilanca!K10:L26,Bilanca!K28:L45,Bilanca!K47:L47,Bilanca!K50:L51)</f>
        <v>0</v>
      </c>
      <c r="N6" s="264"/>
    </row>
    <row r="7" spans="1:15" ht="18" customHeight="1">
      <c r="A7" s="107" t="s">
        <v>1139</v>
      </c>
      <c r="B7" s="108" t="str">
        <f t="shared" si="0"/>
        <v>Ispravno</v>
      </c>
      <c r="C7" s="690" t="s">
        <v>702</v>
      </c>
      <c r="D7" s="691"/>
      <c r="E7" s="691"/>
      <c r="F7" s="691"/>
      <c r="G7" s="691"/>
      <c r="H7" s="691"/>
      <c r="I7" s="691"/>
      <c r="J7" s="692"/>
      <c r="L7" s="28">
        <f>IF(AND(M7&lt;&gt;0,Opci!C41&lt;&gt;"DA"),1,0)</f>
        <v>0</v>
      </c>
      <c r="M7" s="114">
        <f>ABS(Bilanca!K57)+ABS(Bilanca!L57)+ABS(Bilanca!K58)+ABS(Bilanca!L58)+ABS(Bilanca!K59)+ABS(Bilanca!L59)</f>
        <v>0</v>
      </c>
      <c r="N7" s="28"/>
      <c r="O7" s="28"/>
    </row>
    <row r="8" spans="1:13" ht="30" customHeight="1">
      <c r="A8" s="107" t="s">
        <v>1563</v>
      </c>
      <c r="B8" s="108" t="str">
        <f t="shared" si="0"/>
        <v>Ispravno</v>
      </c>
      <c r="C8" s="690" t="s">
        <v>2184</v>
      </c>
      <c r="D8" s="691"/>
      <c r="E8" s="691"/>
      <c r="F8" s="691"/>
      <c r="G8" s="691"/>
      <c r="H8" s="691"/>
      <c r="I8" s="691"/>
      <c r="J8" s="692"/>
      <c r="L8" s="28">
        <f>IF(M8&lt;0,1,0)</f>
        <v>0</v>
      </c>
      <c r="M8" s="114">
        <f>MIN(RDG!K9:L10,RDG!K12:L13,RDG!K22:L23,RDG!K25:L27,RDG!K33:L33)</f>
        <v>0</v>
      </c>
    </row>
    <row r="9" spans="1:13" ht="27" customHeight="1">
      <c r="A9" s="107" t="s">
        <v>1564</v>
      </c>
      <c r="B9" s="108" t="str">
        <f t="shared" si="0"/>
        <v>Ispravno</v>
      </c>
      <c r="C9" s="690" t="s">
        <v>703</v>
      </c>
      <c r="D9" s="691"/>
      <c r="E9" s="691"/>
      <c r="F9" s="691"/>
      <c r="G9" s="691"/>
      <c r="H9" s="691"/>
      <c r="I9" s="691"/>
      <c r="J9" s="692"/>
      <c r="L9" s="28">
        <f>IF(AND(M9&lt;&gt;0,Opci!C41&lt;&gt;"DA"),1,0)</f>
        <v>0</v>
      </c>
      <c r="M9" s="265">
        <f>ABS(RDG!K35)+ABS(RDG!L35)+ABS(RDG!K36)+ABS(RDG!L36)+ABS(RDG!K37)+ABS(RDG!L37)</f>
        <v>0</v>
      </c>
    </row>
    <row r="10" spans="1:15" ht="63.75" customHeight="1">
      <c r="A10" s="107" t="s">
        <v>1565</v>
      </c>
      <c r="B10" s="108" t="str">
        <f>IF(L10=0,"Ispravno","Nije ispravno")</f>
        <v>Ispravno</v>
      </c>
      <c r="C10" s="690" t="s">
        <v>704</v>
      </c>
      <c r="D10" s="691"/>
      <c r="E10" s="691"/>
      <c r="F10" s="691"/>
      <c r="G10" s="691"/>
      <c r="H10" s="691"/>
      <c r="I10" s="691"/>
      <c r="J10" s="692"/>
      <c r="L10" s="28">
        <f>IF(M10+N10&gt;0,1,0)</f>
        <v>0</v>
      </c>
      <c r="M10" s="28">
        <f>IF(OR(BanDop!K11&gt;BanDop!K10,BanDop!L11&gt;BanDop!L10,BanDop!K13&gt;BanDop!K12,BanDop!L13&gt;BanDop!L12,BanDop!K15&gt;BanDop!K14,BanDop!L15&gt;BanDop!L14,BanDop!K17&gt;BanDop!K16,BanDop!L17&gt;BanDop!L16,BanDop!K19&gt;BanDop!K18,BanDop!L19&gt;BanDop!L18),1,0)</f>
        <v>0</v>
      </c>
      <c r="N10" s="28">
        <f>IF(OR(BanDop!K24&gt;BanDop!K23,BanDop!L24&gt;BanDop!L23,BanDop!K26&gt;BanDop!K25,BanDop!L26&gt;BanDop!L25,BanDop!K29&gt;BanDop!K27,BanDop!L29&gt;BanDop!L27,BanDop!K30&gt;BanDop!K28,BanDop!L30&gt;BanDop!L28,BanDop!K33&gt;BanDop!K31,BanDop!L33&gt;BanDop!L31,BanDop!K34&gt;BanDop!K32,BanDop!L34&gt;BanDop!L32,BanDop!K36&gt;BanDop!K35,BanDop!L36&gt;BanDop!L35,BanDop!K38&gt;BanDop!K37,BanDop!L38&gt;BanDop!L37,BanDop!K40&gt;BanDop!K39,BanDop!L40&gt;BanDop!L39),1,0)</f>
        <v>0</v>
      </c>
      <c r="O10" s="28"/>
    </row>
    <row r="11" spans="1:16" ht="30" customHeight="1">
      <c r="A11" s="107" t="s">
        <v>1566</v>
      </c>
      <c r="B11" s="108" t="str">
        <f t="shared" si="0"/>
        <v>Ispravno</v>
      </c>
      <c r="C11" s="690" t="s">
        <v>705</v>
      </c>
      <c r="D11" s="691"/>
      <c r="E11" s="691"/>
      <c r="F11" s="691"/>
      <c r="G11" s="691"/>
      <c r="H11" s="691"/>
      <c r="I11" s="691"/>
      <c r="J11" s="692"/>
      <c r="L11" s="28">
        <f>IF(M11&gt;0,1,0)</f>
        <v>0</v>
      </c>
      <c r="M11" s="111">
        <f>MAX(NT_D!K13:L15,NT_D!K18:L18,NT_D!K34:L34,NT_D!K49:L49)</f>
        <v>0</v>
      </c>
      <c r="N11" s="28"/>
      <c r="O11" s="112"/>
      <c r="P11" s="25"/>
    </row>
    <row r="12" spans="1:16" ht="24.75" customHeight="1">
      <c r="A12" s="107" t="s">
        <v>1567</v>
      </c>
      <c r="B12" s="108" t="str">
        <f>IF(L12=0,"Ispravno","Nije ispravno")</f>
        <v>Ispravno</v>
      </c>
      <c r="C12" s="690" t="s">
        <v>708</v>
      </c>
      <c r="D12" s="691"/>
      <c r="E12" s="691"/>
      <c r="F12" s="691"/>
      <c r="G12" s="691"/>
      <c r="H12" s="691"/>
      <c r="I12" s="691"/>
      <c r="J12" s="692"/>
      <c r="L12" s="28">
        <f>IF(M12&lt;0,1,0)</f>
        <v>0</v>
      </c>
      <c r="M12" s="111">
        <f>MIN(NT_D!K11:L12,NT_D!K17:L17,NT_D!K41:L41,NT_D!K48:L48,NT_D!K54:L55)</f>
        <v>0</v>
      </c>
      <c r="N12" s="28"/>
      <c r="O12" s="112"/>
      <c r="P12" s="25"/>
    </row>
    <row r="13" spans="1:15" ht="18" customHeight="1">
      <c r="A13" s="107" t="s">
        <v>1568</v>
      </c>
      <c r="B13" s="108" t="str">
        <f t="shared" si="0"/>
        <v>Ispravno</v>
      </c>
      <c r="C13" s="690" t="s">
        <v>709</v>
      </c>
      <c r="D13" s="691"/>
      <c r="E13" s="691"/>
      <c r="F13" s="691"/>
      <c r="G13" s="691"/>
      <c r="H13" s="691"/>
      <c r="I13" s="691"/>
      <c r="J13" s="692"/>
      <c r="L13" s="28">
        <f>IF(M13&gt;0,1,0)</f>
        <v>0</v>
      </c>
      <c r="M13" s="111">
        <f>MAX(NT_I!K32:L32,NT_I!K47:L47)</f>
        <v>0</v>
      </c>
      <c r="N13" s="112"/>
      <c r="O13" s="25"/>
    </row>
    <row r="14" spans="1:13" ht="30" customHeight="1">
      <c r="A14" s="107" t="s">
        <v>1569</v>
      </c>
      <c r="B14" s="108" t="str">
        <f t="shared" si="0"/>
        <v>Ispravno</v>
      </c>
      <c r="C14" s="690" t="s">
        <v>710</v>
      </c>
      <c r="D14" s="691"/>
      <c r="E14" s="691"/>
      <c r="F14" s="691"/>
      <c r="G14" s="691"/>
      <c r="H14" s="691"/>
      <c r="I14" s="691"/>
      <c r="J14" s="692"/>
      <c r="L14" s="28">
        <f>IF(M14&lt;0,1,0)</f>
        <v>0</v>
      </c>
      <c r="M14" s="111">
        <f>MIN(NT_I!K13:L13,NT_I!K39:L39,NT_I!K46:L46,NT_I!K52:L53)</f>
        <v>0</v>
      </c>
    </row>
    <row r="15" spans="1:34" ht="19.5" customHeight="1">
      <c r="A15" s="693" t="s">
        <v>2061</v>
      </c>
      <c r="B15" s="694"/>
      <c r="C15" s="694"/>
      <c r="D15" s="694"/>
      <c r="E15" s="694"/>
      <c r="F15" s="694"/>
      <c r="G15" s="694"/>
      <c r="H15" s="694"/>
      <c r="I15" s="694"/>
      <c r="J15" s="695"/>
      <c r="L15" s="28"/>
      <c r="M15" s="28" t="s">
        <v>888</v>
      </c>
      <c r="N15" s="28" t="s">
        <v>887</v>
      </c>
      <c r="O15" s="28" t="s">
        <v>889</v>
      </c>
      <c r="P15" t="s">
        <v>890</v>
      </c>
      <c r="Q15" t="s">
        <v>863</v>
      </c>
      <c r="R15" t="s">
        <v>607</v>
      </c>
      <c r="S15" t="s">
        <v>891</v>
      </c>
      <c r="T15" t="s">
        <v>892</v>
      </c>
      <c r="U15" t="s">
        <v>1161</v>
      </c>
      <c r="V15" t="s">
        <v>893</v>
      </c>
      <c r="W15" t="s">
        <v>894</v>
      </c>
      <c r="X15" t="s">
        <v>895</v>
      </c>
      <c r="Y15" t="s">
        <v>896</v>
      </c>
      <c r="Z15" t="s">
        <v>897</v>
      </c>
      <c r="AA15" t="s">
        <v>899</v>
      </c>
      <c r="AB15" t="s">
        <v>900</v>
      </c>
      <c r="AC15" t="s">
        <v>2317</v>
      </c>
      <c r="AD15" t="s">
        <v>2316</v>
      </c>
      <c r="AE15" t="s">
        <v>2318</v>
      </c>
      <c r="AF15" t="s">
        <v>2319</v>
      </c>
      <c r="AG15" t="s">
        <v>2320</v>
      </c>
      <c r="AH15" t="s">
        <v>1791</v>
      </c>
    </row>
    <row r="16" spans="1:34" ht="66" customHeight="1">
      <c r="A16" s="107" t="s">
        <v>1570</v>
      </c>
      <c r="B16" s="108" t="str">
        <f aca="true" t="shared" si="1" ref="B16:B27">IF(L16=0,"Ispravno","Nije ispravno")</f>
        <v>Ispravno</v>
      </c>
      <c r="C16" s="690" t="s">
        <v>337</v>
      </c>
      <c r="D16" s="691"/>
      <c r="E16" s="691"/>
      <c r="F16" s="691"/>
      <c r="G16" s="691"/>
      <c r="H16" s="691"/>
      <c r="I16" s="691"/>
      <c r="J16" s="692"/>
      <c r="L16" s="28">
        <f>IF(SUM(M16:AH16)&gt;0,1,0)</f>
        <v>0</v>
      </c>
      <c r="M16" s="28" t="str">
        <f>IF(Opci!E5="",1,"0")</f>
        <v>0</v>
      </c>
      <c r="N16" s="28" t="str">
        <f>IF(Opci!H5="",1,"0")</f>
        <v>0</v>
      </c>
      <c r="O16" s="28" t="str">
        <f>IF(Opci!C17="",1,"0")</f>
        <v>0</v>
      </c>
      <c r="P16" t="str">
        <f>IF(Opci!C19="",1,"0")</f>
        <v>0</v>
      </c>
      <c r="Q16" t="str">
        <f>IF(AND(Opci!C21=""),1,"0")</f>
        <v>0</v>
      </c>
      <c r="R16" t="str">
        <f>IF(Opci!C23="",1,"0")</f>
        <v>0</v>
      </c>
      <c r="S16" t="str">
        <f>IF(Opci!C25="",1,"0")</f>
        <v>0</v>
      </c>
      <c r="T16" t="str">
        <f>IF(Opci!C27="",1,"0")</f>
        <v>0</v>
      </c>
      <c r="U16" t="str">
        <f>IF(Opci!F27="",1,"0")</f>
        <v>0</v>
      </c>
      <c r="V16" t="str">
        <f>IF(Opci!C29="",1,"0")</f>
        <v>0</v>
      </c>
      <c r="W16" t="str">
        <f>IF(Opci!C35="",1,"0")</f>
        <v>0</v>
      </c>
      <c r="X16" t="str">
        <f>IF(Opci!C37="",1,"0")</f>
        <v>0</v>
      </c>
      <c r="Y16" t="str">
        <f>IF(Opci!C39="",1,"0")</f>
        <v>0</v>
      </c>
      <c r="Z16" t="str">
        <f>IF(Opci!C41="",1,"0")</f>
        <v>0</v>
      </c>
      <c r="AA16" t="str">
        <f>IF(Opci!C43="",1,"0")</f>
        <v>0</v>
      </c>
      <c r="AB16" t="str">
        <f>IF(Opci!C45="",1,"0")</f>
        <v>0</v>
      </c>
      <c r="AC16">
        <f>IF(OR(Opci!C51="",Opci!E51="",Opci!C51+Opci!E51&lt;&gt;100),1,0)</f>
        <v>0</v>
      </c>
      <c r="AD16">
        <f>IF(OR(Opci!C53="",Opci!E53="",Opci!C55="",Opci!E55=""),1,0)</f>
        <v>0</v>
      </c>
      <c r="AE16">
        <f>IF(OR(Opci!C57="",Opci!E57=""),1,0)</f>
        <v>0</v>
      </c>
      <c r="AF16">
        <f>IF(Opci!C65="",1,0)</f>
        <v>0</v>
      </c>
      <c r="AG16">
        <f>IF(Opci!C71="",1,0)</f>
        <v>0</v>
      </c>
      <c r="AH16">
        <f>IF(Opci!G14="",1,0)</f>
        <v>0</v>
      </c>
    </row>
    <row r="17" spans="1:18" ht="49.5" customHeight="1">
      <c r="A17" s="107" t="s">
        <v>1571</v>
      </c>
      <c r="B17" s="108" t="str">
        <f t="shared" si="1"/>
        <v>Ispravno</v>
      </c>
      <c r="C17" s="696" t="s">
        <v>1305</v>
      </c>
      <c r="D17" s="697"/>
      <c r="E17" s="697"/>
      <c r="F17" s="697"/>
      <c r="G17" s="697"/>
      <c r="H17" s="697"/>
      <c r="I17" s="697"/>
      <c r="J17" s="698"/>
      <c r="L17" s="28">
        <f>IF(SUM(M17:R17)&gt;0,1,0)</f>
        <v>0</v>
      </c>
      <c r="M17" s="28">
        <f>IF(AND(Opci!C17=32,RDG!O1&gt;0),1,0)</f>
        <v>0</v>
      </c>
      <c r="N17" s="28">
        <f>IF(AND(Opci!C17&lt;&gt;32,RDG!O1*Bilanca!O1=0),1,0)</f>
        <v>0</v>
      </c>
      <c r="O17" s="28">
        <f>IF(AND(Opci!C17&lt;&gt;32,Bilanca!P1&lt;&gt;0,RDG!P1=0),1,0)</f>
        <v>0</v>
      </c>
      <c r="P17">
        <f>IF(AND(Opci!C17&lt;&gt;32,Bilanca!P1=0,RDG!P1&lt;&gt;0),1,0)</f>
        <v>0</v>
      </c>
      <c r="Q17">
        <f>IF(AND(Opci!C17&lt;&gt;32,Bilanca!P2&lt;&gt;0,RDG!P2=0),1,0)</f>
        <v>0</v>
      </c>
      <c r="R17">
        <f>IF(AND(Opci!C17&lt;&gt;32,Bilanca!P2=0,RDG!P2&lt;&gt;0),1,0)</f>
        <v>0</v>
      </c>
    </row>
    <row r="18" spans="1:19" ht="60" customHeight="1">
      <c r="A18" s="107" t="s">
        <v>1572</v>
      </c>
      <c r="B18" s="108" t="str">
        <f t="shared" si="1"/>
        <v>Ispravno</v>
      </c>
      <c r="C18" s="690" t="s">
        <v>1711</v>
      </c>
      <c r="D18" s="697"/>
      <c r="E18" s="697"/>
      <c r="F18" s="697"/>
      <c r="G18" s="697"/>
      <c r="H18" s="697"/>
      <c r="I18" s="697"/>
      <c r="J18" s="698"/>
      <c r="L18" s="28">
        <f>IF(SUM(M18:S18)&gt;0,1,0)</f>
        <v>0</v>
      </c>
      <c r="M18" s="28">
        <f>IF(AND(Opci!C45&lt;&gt;2,BanDop!O1=0),1,0)</f>
        <v>0</v>
      </c>
      <c r="N18" s="28">
        <f>IF(AND(Opci!C45=2,BanDop!O1&gt;0),1,0)</f>
        <v>0</v>
      </c>
      <c r="O18" s="28">
        <f>IF(AND(Opci!C45&lt;&gt;2,Opci!C17&lt;&gt;10,Opci!C17&lt;&gt;11,Opci!C17&lt;&gt;20,Opci!C17&lt;&gt;30),1,0)</f>
        <v>0</v>
      </c>
      <c r="P18">
        <f>IF(AND(BanDop!P1&lt;&gt;0,Bilanca!P1=0),1,0)</f>
        <v>0</v>
      </c>
      <c r="Q18">
        <f>IF(AND(BanDop!P1=0,BanDop!O1&lt;&gt;0,Bilanca!P1&lt;&gt;0),1,0)</f>
        <v>0</v>
      </c>
      <c r="R18">
        <f>IF(AND(BanDop!P2&lt;&gt;0,Bilanca!P2=0),1,0)</f>
        <v>0</v>
      </c>
      <c r="S18">
        <f>IF(AND(BanDop!P2=0,BanDop!O1&lt;&gt;0,Bilanca!P2&lt;&gt;0),1,0)</f>
        <v>0</v>
      </c>
    </row>
    <row r="19" spans="1:15" ht="39.75" customHeight="1">
      <c r="A19" s="107" t="s">
        <v>1573</v>
      </c>
      <c r="B19" s="108" t="str">
        <f t="shared" si="1"/>
        <v>Ispravno</v>
      </c>
      <c r="C19" s="696" t="s">
        <v>1196</v>
      </c>
      <c r="D19" s="697"/>
      <c r="E19" s="697"/>
      <c r="F19" s="697"/>
      <c r="G19" s="697"/>
      <c r="H19" s="697"/>
      <c r="I19" s="697"/>
      <c r="J19" s="698"/>
      <c r="L19" s="28">
        <f>IF(SUM(M19:N19)&gt;0,1,0)</f>
        <v>0</v>
      </c>
      <c r="M19" s="28">
        <f>IF(AND(Opci!C45=1,Opci!H43&lt;&gt;"NE"),1,0)</f>
        <v>0</v>
      </c>
      <c r="N19" s="28">
        <f>IF(AND(Opci!C45&gt;1,Opci!H43&lt;&gt;"DA"),1,0)</f>
        <v>0</v>
      </c>
      <c r="O19" s="28"/>
    </row>
    <row r="20" spans="1:19" ht="84" customHeight="1">
      <c r="A20" s="107" t="s">
        <v>1574</v>
      </c>
      <c r="B20" s="108" t="str">
        <f t="shared" si="1"/>
        <v>Ispravno</v>
      </c>
      <c r="C20" s="696" t="s">
        <v>2249</v>
      </c>
      <c r="D20" s="697"/>
      <c r="E20" s="697"/>
      <c r="F20" s="697"/>
      <c r="G20" s="697"/>
      <c r="H20" s="697"/>
      <c r="I20" s="697"/>
      <c r="J20" s="698"/>
      <c r="L20" s="28">
        <f>IF(SUM(M20:Q20)&gt;0,1,0)</f>
        <v>0</v>
      </c>
      <c r="M20" s="28">
        <f>IF(AND(Opci!C45&lt;2,NT_I!O1+NT_D!O1&lt;&gt;0),1,0)</f>
        <v>0</v>
      </c>
      <c r="N20" s="266">
        <f>IF(AND(Opci!C47=1,NT_I!O1+NT_D!O1&lt;&gt;0),1,0)</f>
        <v>0</v>
      </c>
      <c r="O20" s="28">
        <f>IF(AND(Opci!C47&gt;1,Opci!C45&gt;1,Opci!C17&lt;&gt;32,NT_I!P2+NT_D!P2=0),1,0)</f>
        <v>0</v>
      </c>
      <c r="P20">
        <f>IF(AND(NT_I!O1&lt;&gt;0,NT_D!O1&lt;&gt;0),1,0)</f>
        <v>0</v>
      </c>
      <c r="Q20">
        <f>IF(AND(Opci!C17=32,NT_I!O1+NT_D!P1&gt;0),1,0)</f>
        <v>0</v>
      </c>
      <c r="R20">
        <f>IF(AND(Bilanca!P1=0,NT_D!P1+NT_I!P1&lt;&gt;0),1,0)</f>
        <v>0</v>
      </c>
      <c r="S20">
        <f>IF(AND(Opci!C47&gt;1,Opci!C45&gt;1,Opci!C17&lt;&gt;32,NT_I!P1+NT_D!P1=0,Bilanca!P1&lt;&gt;0),1,0)</f>
        <v>0</v>
      </c>
    </row>
    <row r="21" spans="1:24" ht="39.75" customHeight="1">
      <c r="A21" s="107" t="s">
        <v>1575</v>
      </c>
      <c r="B21" s="108" t="str">
        <f t="shared" si="1"/>
        <v>Ispravno</v>
      </c>
      <c r="C21" s="696" t="s">
        <v>2250</v>
      </c>
      <c r="D21" s="697"/>
      <c r="E21" s="697"/>
      <c r="F21" s="697"/>
      <c r="G21" s="697"/>
      <c r="H21" s="697"/>
      <c r="I21" s="697"/>
      <c r="J21" s="698"/>
      <c r="L21" s="28">
        <f>IF(SUM(M21:O21)&gt;0,1,0)</f>
        <v>0</v>
      </c>
      <c r="M21" s="28">
        <f>IF(AND(Opci!C45=1,PK!O1&lt;&gt;0),1,0)</f>
        <v>0</v>
      </c>
      <c r="N21" s="28">
        <f>IF(AND(Opci!C47&gt;1,Opci!C45&gt;1,Opci!C17&lt;&gt;32,PK!O1=0),1,0)</f>
        <v>0</v>
      </c>
      <c r="O21">
        <f>IF(AND(Opci!C17=32,PK!O1&lt;&gt;0),1,0)</f>
        <v>0</v>
      </c>
      <c r="R21" s="63"/>
      <c r="S21" s="28"/>
      <c r="T21" s="28"/>
      <c r="U21" s="28"/>
      <c r="V21" s="28"/>
      <c r="W21" s="28"/>
      <c r="X21" s="64"/>
    </row>
    <row r="22" spans="1:25" ht="75" customHeight="1">
      <c r="A22" s="107" t="s">
        <v>1576</v>
      </c>
      <c r="B22" s="108" t="str">
        <f t="shared" si="1"/>
        <v>Ispravno</v>
      </c>
      <c r="C22" s="696" t="s">
        <v>481</v>
      </c>
      <c r="D22" s="697"/>
      <c r="E22" s="697"/>
      <c r="F22" s="697"/>
      <c r="G22" s="697"/>
      <c r="H22" s="697"/>
      <c r="I22" s="697"/>
      <c r="J22" s="698"/>
      <c r="L22" s="28">
        <f>IF(SUM(M22:P22)&gt;0,1,0)</f>
        <v>0</v>
      </c>
      <c r="M22" s="28">
        <f>IF(AND(Opci!C45&gt;1,Opci!H49&lt;&gt;"DA",Opci!C17=10),1,0)</f>
        <v>0</v>
      </c>
      <c r="N22" s="28">
        <f>IF(AND(Opci!C45&gt;1,Opci!H49&lt;&gt;"DA",Opci!C17=11),1,0)</f>
        <v>0</v>
      </c>
      <c r="O22">
        <f>IF(AND(Opci!C45=1,Opci!H49="DA"),1,0)</f>
        <v>0</v>
      </c>
      <c r="P22">
        <f>IF(OR(AND(Opci!E43="",Opci!H49="DA"),AND(Opci!E43&lt;&gt;"",Opci!C45=1)),1,0)</f>
        <v>0</v>
      </c>
      <c r="W22" s="80"/>
      <c r="X22" s="80"/>
      <c r="Y22" s="80"/>
    </row>
    <row r="23" spans="1:19" ht="30" customHeight="1">
      <c r="A23" s="107" t="s">
        <v>1577</v>
      </c>
      <c r="B23" s="108" t="str">
        <f t="shared" si="1"/>
        <v>Ispravno</v>
      </c>
      <c r="C23" s="696" t="s">
        <v>2251</v>
      </c>
      <c r="D23" s="697"/>
      <c r="E23" s="697"/>
      <c r="F23" s="697"/>
      <c r="G23" s="697"/>
      <c r="H23" s="697"/>
      <c r="I23" s="697"/>
      <c r="J23" s="698"/>
      <c r="L23" s="28">
        <f>IF(SUM(M23:O23)&gt;0,1,0)</f>
        <v>0</v>
      </c>
      <c r="M23" s="28">
        <f>IF(AND(Opci!C45=1,Opci!H51="DA"),1,0)</f>
        <v>0</v>
      </c>
      <c r="N23" s="28">
        <f>IF(AND(Opci!H51="DA",Opci!C17&lt;&gt;10,Opci!C17&lt;&gt;11,Opci!C17&lt;&gt;20,Opci!C17&lt;&gt;30),1,0)</f>
        <v>0</v>
      </c>
      <c r="O23">
        <f>IF(AND(Opci!H51="NE",Opci!C17&lt;12,Opci!C45&gt;1),1,0)</f>
        <v>0</v>
      </c>
      <c r="P23" s="28"/>
      <c r="Q23" s="28"/>
      <c r="R23" s="28"/>
      <c r="S23" s="64"/>
    </row>
    <row r="24" spans="1:23" ht="30.75" customHeight="1">
      <c r="A24" s="107" t="s">
        <v>1578</v>
      </c>
      <c r="B24" s="108" t="str">
        <f t="shared" si="1"/>
        <v>Ispravno</v>
      </c>
      <c r="C24" s="696" t="s">
        <v>2252</v>
      </c>
      <c r="D24" s="697"/>
      <c r="E24" s="697"/>
      <c r="F24" s="697"/>
      <c r="G24" s="697"/>
      <c r="H24" s="697"/>
      <c r="I24" s="697"/>
      <c r="J24" s="698"/>
      <c r="L24" s="28">
        <f>IF(SUM(M24:Q24)&gt;0,1,0)</f>
        <v>0</v>
      </c>
      <c r="M24" s="28">
        <f>IF(AND(Opci!C17&lt;&gt;10,Opci!C17&lt;&gt;11,Opci!C17&lt;&gt;20,Opci!C17&lt;&gt;30,Opci!H53="DA"),1,0)</f>
        <v>0</v>
      </c>
      <c r="N24" s="28">
        <f>IF(AND(Opci!H53="DA",Opci!C45&lt;2),1,0)</f>
        <v>0</v>
      </c>
      <c r="O24" s="28">
        <f>IF(AND(Opci!C45&gt;1,Opci!H53&lt;&gt;"DA",Opci!C17=10,Opci!C41&lt;&gt;"DA"),1,0)</f>
        <v>0</v>
      </c>
      <c r="P24">
        <f>IF(AND(Opci!C45&gt;1,Opci!H53&lt;&gt;"DA",Opci!C17=11,Opci!C41&lt;&gt;"DA"),1,0)</f>
        <v>0</v>
      </c>
      <c r="Q24">
        <f>IF(AND(Opci!C41="DA",Opci!H53="DA"),1,0)</f>
        <v>0</v>
      </c>
      <c r="R24" s="28"/>
      <c r="S24" s="28"/>
      <c r="T24" s="28"/>
      <c r="U24" s="28"/>
      <c r="V24" s="28"/>
      <c r="W24" s="64"/>
    </row>
    <row r="25" spans="1:32" ht="33.75" customHeight="1">
      <c r="A25" s="107" t="s">
        <v>1579</v>
      </c>
      <c r="B25" s="108" t="str">
        <f t="shared" si="1"/>
        <v>Ispravno</v>
      </c>
      <c r="C25" s="696" t="s">
        <v>1790</v>
      </c>
      <c r="D25" s="697"/>
      <c r="E25" s="697"/>
      <c r="F25" s="697"/>
      <c r="G25" s="697"/>
      <c r="H25" s="697"/>
      <c r="I25" s="697"/>
      <c r="J25" s="698"/>
      <c r="L25" s="113">
        <f>IF(SUM(M25:P25)&gt;0,1,0)</f>
        <v>0</v>
      </c>
      <c r="M25" s="28">
        <f>IF(AND(Opci!C45=1,Opci!H55="DA"),1,0)</f>
        <v>0</v>
      </c>
      <c r="N25" s="28">
        <f>IF(AND(Kont!H37="DA",Opci!C17&lt;&gt;10,Opci!C17&lt;&gt;11,Opci!C17&lt;&gt;20,Opci!C17&lt;&gt;30),1,0)</f>
        <v>0</v>
      </c>
      <c r="O25" s="28">
        <f>IF(AND(Opci!C17=10,Opci!C45&gt;1,Opci!H55&lt;&gt;"DA"),1,0)</f>
        <v>0</v>
      </c>
      <c r="P25">
        <f>IF(AND(Opci!C17=11,Opci!C45&gt;1,Opci!H55&lt;&gt;"DA"),1,0)</f>
        <v>0</v>
      </c>
      <c r="Q25" s="81"/>
      <c r="R25" s="82"/>
      <c r="S25" s="82"/>
      <c r="T25" s="82"/>
      <c r="U25" s="82"/>
      <c r="V25" s="82"/>
      <c r="W25" s="83"/>
      <c r="Z25" s="63"/>
      <c r="AA25" s="28"/>
      <c r="AB25" s="28"/>
      <c r="AC25" s="28"/>
      <c r="AD25" s="28"/>
      <c r="AE25" s="28"/>
      <c r="AF25" s="64"/>
    </row>
    <row r="26" spans="1:32" ht="39.75" customHeight="1">
      <c r="A26" s="107" t="s">
        <v>1580</v>
      </c>
      <c r="B26" s="108" t="str">
        <f t="shared" si="1"/>
        <v>Ispravno</v>
      </c>
      <c r="C26" s="690" t="s">
        <v>1971</v>
      </c>
      <c r="D26" s="691"/>
      <c r="E26" s="691"/>
      <c r="F26" s="691"/>
      <c r="G26" s="691"/>
      <c r="H26" s="691"/>
      <c r="I26" s="691"/>
      <c r="J26" s="692"/>
      <c r="L26" s="28">
        <f>IF(AND(Opci!C17=11,Opci!C45=3),1,0)</f>
        <v>0</v>
      </c>
      <c r="M26" s="28"/>
      <c r="N26" s="28"/>
      <c r="O26" s="28"/>
      <c r="Q26" s="81"/>
      <c r="R26" s="82"/>
      <c r="S26" s="82"/>
      <c r="T26" s="82"/>
      <c r="U26" s="82"/>
      <c r="V26" s="82"/>
      <c r="W26" s="83"/>
      <c r="Z26" s="63"/>
      <c r="AA26" s="28"/>
      <c r="AB26" s="28"/>
      <c r="AC26" s="28"/>
      <c r="AD26" s="28"/>
      <c r="AE26" s="28"/>
      <c r="AF26" s="64"/>
    </row>
    <row r="27" spans="1:33" ht="90" customHeight="1">
      <c r="A27" s="107" t="s">
        <v>1581</v>
      </c>
      <c r="B27" s="108" t="str">
        <f t="shared" si="1"/>
        <v>Ispravno</v>
      </c>
      <c r="C27" s="690" t="s">
        <v>1715</v>
      </c>
      <c r="D27" s="691"/>
      <c r="E27" s="691"/>
      <c r="F27" s="691"/>
      <c r="G27" s="691"/>
      <c r="H27" s="691"/>
      <c r="I27" s="691"/>
      <c r="J27" s="692"/>
      <c r="L27" s="28">
        <f>IF(OR(M27=1,N27=1,Q27=1,R27=1,S27=1,T27=1,U27=1,V27=1,W27=1,X27=1),1,0)</f>
        <v>0</v>
      </c>
      <c r="M27" s="28">
        <f>IF(OR(Opci!C57&gt;12,Opci!E57&gt;12,Opci!C57&lt;0,Opci!E57&lt;0),1,0)</f>
        <v>0</v>
      </c>
      <c r="N27" s="28">
        <f>IF(OR(Opci!E57&gt;O27,Opci!E57&lt;P27),1,0)</f>
        <v>0</v>
      </c>
      <c r="O27" s="114">
        <f>ROUND((Opci!H5-Opci!E5+20)/30,0)</f>
        <v>13</v>
      </c>
      <c r="P27">
        <f>ROUND((Opci!H5-Opci!E5-20)/30,0)</f>
        <v>11</v>
      </c>
      <c r="Q27">
        <f>IF(AND(SUM(RDG!K9:K50)&gt;0,Opci!C57=0),1,0)</f>
        <v>0</v>
      </c>
      <c r="R27">
        <f>IF(AND(SUM(RDG!L9:L50)&gt;0,Opci!E57=0),1,0)</f>
        <v>0</v>
      </c>
      <c r="S27" s="82">
        <f>IF(AND(Opci!C17=32,OR(Opci!C57&lt;&gt;0,Opci!E57&lt;&gt;0,Opci!E5&lt;&gt;Opci!H5)),1,0)</f>
        <v>0</v>
      </c>
      <c r="T27" s="82">
        <f>IF(Opci!E5&gt;Opci!H5,1,0)</f>
        <v>0</v>
      </c>
      <c r="U27" s="82">
        <f>IF(AND(Opci!C17=32,Bilanca!P1&lt;&gt;0),1,0)</f>
        <v>0</v>
      </c>
      <c r="V27" s="82">
        <f>IF(AND(Opci!C17=10,OR(MONTH(Opci!H5)&lt;&gt;12,DAY(Opci!H5)&lt;&gt;31)),1,0)</f>
        <v>0</v>
      </c>
      <c r="W27" s="82">
        <f>IF(AND(Opci!C17=11,OR(MONTH(Opci!H5)&lt;&gt;12,DAY(Opci!H5)&lt;&gt;31),Opci!C45=1),1,0)</f>
        <v>0</v>
      </c>
      <c r="X27" s="83">
        <f>IF(AND(Opci!C17=11,MONTH(Opci!H5)=12,DAY(Opci!H5)=31,Opci!C45=2),1,0)</f>
        <v>0</v>
      </c>
      <c r="AA27" s="63"/>
      <c r="AB27" s="28"/>
      <c r="AC27" s="28"/>
      <c r="AD27" s="28"/>
      <c r="AE27" s="28"/>
      <c r="AF27" s="28"/>
      <c r="AG27" s="64"/>
    </row>
    <row r="28" spans="1:32" ht="42" customHeight="1">
      <c r="A28" s="107" t="s">
        <v>1138</v>
      </c>
      <c r="B28" s="108" t="str">
        <f>IF(L28=0,"Ispravno","Nije ispravno")</f>
        <v>Ispravno</v>
      </c>
      <c r="C28" s="690" t="s">
        <v>348</v>
      </c>
      <c r="D28" s="691"/>
      <c r="E28" s="691"/>
      <c r="F28" s="691"/>
      <c r="G28" s="691"/>
      <c r="H28" s="691"/>
      <c r="I28" s="691"/>
      <c r="J28" s="692"/>
      <c r="L28" s="28">
        <f>IF(OR(M28=1,N28=1),1,0)</f>
        <v>0</v>
      </c>
      <c r="M28" s="28">
        <f>IF(AND(Opci!C41="DA",Opci!C45&lt;&gt;2),1,0)</f>
        <v>0</v>
      </c>
      <c r="N28" s="28">
        <f>IF(AND(Opci!C41="DA",Opci!C17&lt;&gt;10,Opci!C17&lt;&gt;11,Opci!C17&lt;&gt;20,Opci!C17&lt;&gt;30),1,0)</f>
        <v>0</v>
      </c>
      <c r="O28" s="28"/>
      <c r="Q28" s="81"/>
      <c r="R28" s="82"/>
      <c r="S28" s="82"/>
      <c r="T28" s="82"/>
      <c r="U28" s="82"/>
      <c r="V28" s="82"/>
      <c r="W28" s="83"/>
      <c r="Z28" s="63"/>
      <c r="AA28" s="28"/>
      <c r="AB28" s="28"/>
      <c r="AC28" s="28"/>
      <c r="AD28" s="28"/>
      <c r="AE28" s="28"/>
      <c r="AF28" s="64"/>
    </row>
    <row r="29" spans="1:29" ht="108" customHeight="1">
      <c r="A29" s="107" t="s">
        <v>733</v>
      </c>
      <c r="B29" s="289" t="str">
        <f>IF(L29=0,"Ispravno","Nije ispravno")</f>
        <v>Ispravno</v>
      </c>
      <c r="C29" s="699" t="s">
        <v>1708</v>
      </c>
      <c r="D29" s="700"/>
      <c r="E29" s="700"/>
      <c r="F29" s="700"/>
      <c r="G29" s="700"/>
      <c r="H29" s="700"/>
      <c r="I29" s="700"/>
      <c r="J29" s="700"/>
      <c r="L29" s="290">
        <f>MAX(M29:M29)</f>
        <v>0</v>
      </c>
      <c r="M29" s="290">
        <f>IF(ISERROR(O29),0,1)</f>
        <v>0</v>
      </c>
      <c r="N29" s="28" t="str">
        <f ca="1">CELL("filename")</f>
        <v>T:\Eksterna izvjesca\GFI_BAN\2013\[GFI-BAN Croatia banka d.d.  31.12.2013. - JAVNA OBJAVA.xls]PK</v>
      </c>
      <c r="O29" s="28" t="e">
        <f>FIND(".XLSX",UPPER(N29),1)</f>
        <v>#VALUE!</v>
      </c>
      <c r="P29" s="28"/>
      <c r="Q29" s="28"/>
      <c r="R29" s="28"/>
      <c r="S29" s="28"/>
      <c r="T29" s="28"/>
      <c r="W29" s="63"/>
      <c r="X29" s="28"/>
      <c r="Y29" s="28"/>
      <c r="Z29" s="28"/>
      <c r="AA29" s="28"/>
      <c r="AB29" s="28"/>
      <c r="AC29" s="64"/>
    </row>
    <row r="30" spans="1:32" ht="42" customHeight="1">
      <c r="A30" s="107" t="s">
        <v>734</v>
      </c>
      <c r="B30" s="108" t="str">
        <f>IF(L30=0,"Ispravno","Nije ispravno")</f>
        <v>Ispravno</v>
      </c>
      <c r="C30" s="690" t="s">
        <v>1219</v>
      </c>
      <c r="D30" s="691"/>
      <c r="E30" s="691"/>
      <c r="F30" s="691"/>
      <c r="G30" s="691"/>
      <c r="H30" s="691"/>
      <c r="I30" s="691"/>
      <c r="J30" s="692"/>
      <c r="L30" s="28">
        <f>IF(SUM(M30:S30)&gt;0,1,0)</f>
        <v>0</v>
      </c>
      <c r="M30" s="28">
        <f>IF(AND(Opci!C41="DA",SUM(Bilanca!K58:L58)=0),1,0)</f>
        <v>0</v>
      </c>
      <c r="N30" s="28">
        <f>IF(AND(Opci!C41&lt;&gt;"DA",SUM(Bilanca!K58:L58)&lt;&gt;0),1,0)</f>
        <v>0</v>
      </c>
      <c r="O30" s="28">
        <f>IF(AND(Opci!C41="DA",SUM(RDG!K36:L36)=0),1,0)</f>
        <v>0</v>
      </c>
      <c r="P30">
        <f>IF(AND(Opci!C41&lt;&gt;"DA",SUM(RDG!K36:L36)&lt;&gt;0),1,0)</f>
        <v>0</v>
      </c>
      <c r="Q30" s="81"/>
      <c r="R30" s="82"/>
      <c r="S30" s="82"/>
      <c r="T30" s="82"/>
      <c r="U30" s="82"/>
      <c r="V30" s="82"/>
      <c r="W30" s="83"/>
      <c r="Z30" s="63"/>
      <c r="AA30" s="28"/>
      <c r="AB30" s="28"/>
      <c r="AC30" s="28"/>
      <c r="AD30" s="28"/>
      <c r="AE30" s="28"/>
      <c r="AF30" s="64"/>
    </row>
    <row r="31" spans="1:15" ht="32.25" customHeight="1">
      <c r="A31" s="693" t="s">
        <v>2376</v>
      </c>
      <c r="B31" s="694"/>
      <c r="C31" s="694"/>
      <c r="D31" s="694"/>
      <c r="E31" s="694"/>
      <c r="F31" s="694"/>
      <c r="G31" s="694"/>
      <c r="H31" s="694"/>
      <c r="I31" s="694"/>
      <c r="J31" s="695"/>
      <c r="L31" s="28"/>
      <c r="M31" s="28"/>
      <c r="N31" s="28"/>
      <c r="O31" s="28"/>
    </row>
    <row r="32" spans="1:18" ht="49.5" customHeight="1">
      <c r="A32" s="107" t="s">
        <v>735</v>
      </c>
      <c r="B32" s="108" t="str">
        <f>IF(L32=0,"Ispravno","Upozorenje!!!")</f>
        <v>Ispravno</v>
      </c>
      <c r="C32" s="696" t="s">
        <v>839</v>
      </c>
      <c r="D32" s="691"/>
      <c r="E32" s="691"/>
      <c r="F32" s="691"/>
      <c r="G32" s="691"/>
      <c r="H32" s="691"/>
      <c r="I32" s="691"/>
      <c r="J32" s="692"/>
      <c r="L32" s="28">
        <f>IF(OR(M32=1,N32=1),1,0)</f>
        <v>0</v>
      </c>
      <c r="M32" s="28">
        <f>IF(OR(Opci!C53&gt;1000,Opci!E53&gt;1000,Opci!C55&gt;1000,Opci!E55&gt;1000),1,0)</f>
        <v>0</v>
      </c>
      <c r="N32" s="28">
        <f>IF(MAX(O32:R32)&gt;15,1,0)</f>
        <v>0</v>
      </c>
      <c r="O32" s="28">
        <f>IF(Opci!C53+Opci!C55&gt;20,ABS(Opci!C53-Opci!C55)/(Opci!C53+Opci!C55)*200,0)</f>
        <v>5.86080586080586</v>
      </c>
      <c r="P32">
        <f>IF(Opci!E53+Opci!E55&gt;20,ABS(Opci!E53-Opci!E55)/(Opci!E53+Opci!E55)*200,0)</f>
        <v>5.545286506469501</v>
      </c>
      <c r="Q32">
        <f>IF(Opci!C53+Opci!E53&gt;20,ABS(Opci!C53-Opci!E53)/(Opci!C53+Opci!E53)*200,0)</f>
        <v>1.073345259391771</v>
      </c>
      <c r="R32">
        <f>IF(Opci!C55+Opci!E55,ABS(Opci!C55-Opci!E55)/(Opci!C55+Opci!E55)*200,0)</f>
        <v>0.7575757575757576</v>
      </c>
    </row>
    <row r="33" ht="4.5" customHeight="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sheetData>
  <sheetProtection password="C79A" sheet="1" objects="1"/>
  <mergeCells count="32">
    <mergeCell ref="C32:J32"/>
    <mergeCell ref="C27:J27"/>
    <mergeCell ref="C26:J26"/>
    <mergeCell ref="C23:J23"/>
    <mergeCell ref="A31:J31"/>
    <mergeCell ref="C21:J21"/>
    <mergeCell ref="C25:J25"/>
    <mergeCell ref="C30:J30"/>
    <mergeCell ref="C28:J28"/>
    <mergeCell ref="C7:J7"/>
    <mergeCell ref="C11:J11"/>
    <mergeCell ref="C22:J22"/>
    <mergeCell ref="C8:J8"/>
    <mergeCell ref="C9:J9"/>
    <mergeCell ref="A15:J15"/>
    <mergeCell ref="C14:J14"/>
    <mergeCell ref="A1:B2"/>
    <mergeCell ref="C20:J20"/>
    <mergeCell ref="C6:J6"/>
    <mergeCell ref="C18:J18"/>
    <mergeCell ref="C5:J5"/>
    <mergeCell ref="C24:J24"/>
    <mergeCell ref="A3:B3"/>
    <mergeCell ref="C13:J13"/>
    <mergeCell ref="C3:J3"/>
    <mergeCell ref="A4:J4"/>
    <mergeCell ref="C17:J17"/>
    <mergeCell ref="C29:J29"/>
    <mergeCell ref="C16:J16"/>
    <mergeCell ref="C19:J19"/>
    <mergeCell ref="C12:J12"/>
    <mergeCell ref="C10:J10"/>
  </mergeCells>
  <conditionalFormatting sqref="B32">
    <cfRule type="cellIs" priority="1" dxfId="1" operator="equal" stopIfTrue="1">
      <formula>"Upozorenje!!!"</formula>
    </cfRule>
  </conditionalFormatting>
  <conditionalFormatting sqref="B5:B14 B16:B30">
    <cfRule type="cellIs" priority="2" dxfId="0" operator="equal" stopIfTrue="1">
      <formula>"Nije ispravno"</formula>
    </cfRule>
  </conditionalFormatting>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4" r:id="rId1"/>
</worksheet>
</file>

<file path=xl/worksheets/sheet13.xml><?xml version="1.0" encoding="utf-8"?>
<worksheet xmlns="http://schemas.openxmlformats.org/spreadsheetml/2006/main" xmlns:r="http://schemas.openxmlformats.org/officeDocument/2006/relationships">
  <sheetPr>
    <pageSetUpPr fitToPage="1"/>
  </sheetPr>
  <dimension ref="A1:J619"/>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 width="7.28125" style="0" customWidth="1"/>
    <col min="2" max="7" width="10.7109375" style="0" customWidth="1"/>
    <col min="8" max="10" width="11.7109375" style="0" customWidth="1"/>
    <col min="11" max="11" width="0.85546875" style="0" customWidth="1"/>
    <col min="12" max="16384" width="0" style="0" hidden="1" customWidth="1"/>
  </cols>
  <sheetData>
    <row r="1" spans="1:10" ht="19.5" customHeight="1">
      <c r="A1" s="320" t="s">
        <v>1801</v>
      </c>
      <c r="B1" s="321"/>
      <c r="C1" s="88" t="s">
        <v>396</v>
      </c>
      <c r="D1" s="85" t="s">
        <v>1802</v>
      </c>
      <c r="E1" s="85" t="s">
        <v>305</v>
      </c>
      <c r="F1" s="106" t="s">
        <v>1792</v>
      </c>
      <c r="G1" s="85" t="s">
        <v>397</v>
      </c>
      <c r="H1" s="106" t="s">
        <v>398</v>
      </c>
      <c r="I1" s="85" t="s">
        <v>306</v>
      </c>
      <c r="J1" s="86" t="s">
        <v>399</v>
      </c>
    </row>
    <row r="2" spans="1:10" s="3" customFormat="1" ht="19.5" customHeight="1">
      <c r="A2" s="322"/>
      <c r="B2" s="323"/>
      <c r="C2" s="89" t="s">
        <v>1803</v>
      </c>
      <c r="D2" s="90" t="s">
        <v>308</v>
      </c>
      <c r="E2" s="90" t="s">
        <v>1804</v>
      </c>
      <c r="F2" s="90" t="s">
        <v>307</v>
      </c>
      <c r="G2" s="90" t="s">
        <v>401</v>
      </c>
      <c r="H2" s="91" t="s">
        <v>402</v>
      </c>
      <c r="I2" s="87"/>
      <c r="J2" s="87"/>
    </row>
    <row r="3" spans="1:10" s="3" customFormat="1" ht="30" customHeight="1">
      <c r="A3" s="701" t="s">
        <v>990</v>
      </c>
      <c r="B3" s="702"/>
      <c r="C3" s="703"/>
      <c r="D3" s="703"/>
      <c r="E3" s="703"/>
      <c r="F3" s="703"/>
      <c r="G3" s="703"/>
      <c r="H3" s="703"/>
      <c r="I3" s="703"/>
      <c r="J3" s="704"/>
    </row>
    <row r="4" spans="1:10" s="3" customFormat="1" ht="15.75" customHeight="1">
      <c r="A4" s="79" t="s">
        <v>989</v>
      </c>
      <c r="B4" s="711" t="s">
        <v>988</v>
      </c>
      <c r="C4" s="712"/>
      <c r="D4" s="712"/>
      <c r="E4" s="712"/>
      <c r="F4" s="712"/>
      <c r="G4" s="712"/>
      <c r="H4" s="712"/>
      <c r="I4" s="712"/>
      <c r="J4" s="713"/>
    </row>
    <row r="5" spans="1:10" ht="13.5" customHeight="1">
      <c r="A5" s="76" t="s">
        <v>1914</v>
      </c>
      <c r="B5" s="705" t="s">
        <v>1915</v>
      </c>
      <c r="C5" s="706"/>
      <c r="D5" s="706"/>
      <c r="E5" s="706"/>
      <c r="F5" s="706"/>
      <c r="G5" s="706"/>
      <c r="H5" s="706"/>
      <c r="I5" s="706"/>
      <c r="J5" s="707"/>
    </row>
    <row r="6" spans="1:10" ht="13.5" customHeight="1">
      <c r="A6" s="77" t="s">
        <v>1916</v>
      </c>
      <c r="B6" s="708" t="s">
        <v>1917</v>
      </c>
      <c r="C6" s="709"/>
      <c r="D6" s="709"/>
      <c r="E6" s="709"/>
      <c r="F6" s="709"/>
      <c r="G6" s="709"/>
      <c r="H6" s="709"/>
      <c r="I6" s="709"/>
      <c r="J6" s="710"/>
    </row>
    <row r="7" spans="1:10" ht="13.5" customHeight="1">
      <c r="A7" s="77" t="s">
        <v>1918</v>
      </c>
      <c r="B7" s="708" t="s">
        <v>1919</v>
      </c>
      <c r="C7" s="709"/>
      <c r="D7" s="709"/>
      <c r="E7" s="709"/>
      <c r="F7" s="709"/>
      <c r="G7" s="709"/>
      <c r="H7" s="709"/>
      <c r="I7" s="709"/>
      <c r="J7" s="710"/>
    </row>
    <row r="8" spans="1:10" ht="13.5" customHeight="1">
      <c r="A8" s="77" t="s">
        <v>1920</v>
      </c>
      <c r="B8" s="708" t="s">
        <v>1921</v>
      </c>
      <c r="C8" s="709"/>
      <c r="D8" s="709"/>
      <c r="E8" s="709"/>
      <c r="F8" s="709"/>
      <c r="G8" s="709"/>
      <c r="H8" s="709"/>
      <c r="I8" s="709"/>
      <c r="J8" s="710"/>
    </row>
    <row r="9" spans="1:10" ht="13.5" customHeight="1">
      <c r="A9" s="77" t="s">
        <v>1922</v>
      </c>
      <c r="B9" s="708" t="s">
        <v>1923</v>
      </c>
      <c r="C9" s="709"/>
      <c r="D9" s="709"/>
      <c r="E9" s="709"/>
      <c r="F9" s="709"/>
      <c r="G9" s="709"/>
      <c r="H9" s="709"/>
      <c r="I9" s="709"/>
      <c r="J9" s="710"/>
    </row>
    <row r="10" spans="1:10" ht="13.5" customHeight="1">
      <c r="A10" s="77" t="s">
        <v>1924</v>
      </c>
      <c r="B10" s="708" t="s">
        <v>1925</v>
      </c>
      <c r="C10" s="709"/>
      <c r="D10" s="709"/>
      <c r="E10" s="709"/>
      <c r="F10" s="709"/>
      <c r="G10" s="709"/>
      <c r="H10" s="709"/>
      <c r="I10" s="709"/>
      <c r="J10" s="710"/>
    </row>
    <row r="11" spans="1:10" ht="13.5" customHeight="1">
      <c r="A11" s="77" t="s">
        <v>1926</v>
      </c>
      <c r="B11" s="708" t="s">
        <v>1927</v>
      </c>
      <c r="C11" s="709"/>
      <c r="D11" s="709"/>
      <c r="E11" s="709"/>
      <c r="F11" s="709"/>
      <c r="G11" s="709"/>
      <c r="H11" s="709"/>
      <c r="I11" s="709"/>
      <c r="J11" s="710"/>
    </row>
    <row r="12" spans="1:10" ht="13.5" customHeight="1">
      <c r="A12" s="77" t="s">
        <v>1928</v>
      </c>
      <c r="B12" s="708" t="s">
        <v>1929</v>
      </c>
      <c r="C12" s="709"/>
      <c r="D12" s="709"/>
      <c r="E12" s="709"/>
      <c r="F12" s="709"/>
      <c r="G12" s="709"/>
      <c r="H12" s="709"/>
      <c r="I12" s="709"/>
      <c r="J12" s="710"/>
    </row>
    <row r="13" spans="1:10" ht="13.5" customHeight="1">
      <c r="A13" s="77" t="s">
        <v>1930</v>
      </c>
      <c r="B13" s="708" t="s">
        <v>1931</v>
      </c>
      <c r="C13" s="709"/>
      <c r="D13" s="709"/>
      <c r="E13" s="709"/>
      <c r="F13" s="709"/>
      <c r="G13" s="709"/>
      <c r="H13" s="709"/>
      <c r="I13" s="709"/>
      <c r="J13" s="710"/>
    </row>
    <row r="14" spans="1:10" ht="13.5" customHeight="1">
      <c r="A14" s="77" t="s">
        <v>1932</v>
      </c>
      <c r="B14" s="708" t="s">
        <v>1933</v>
      </c>
      <c r="C14" s="709"/>
      <c r="D14" s="709"/>
      <c r="E14" s="709"/>
      <c r="F14" s="709"/>
      <c r="G14" s="709"/>
      <c r="H14" s="709"/>
      <c r="I14" s="709"/>
      <c r="J14" s="710"/>
    </row>
    <row r="15" spans="1:10" ht="13.5" customHeight="1">
      <c r="A15" s="77" t="s">
        <v>1934</v>
      </c>
      <c r="B15" s="708" t="s">
        <v>1935</v>
      </c>
      <c r="C15" s="709"/>
      <c r="D15" s="709"/>
      <c r="E15" s="709"/>
      <c r="F15" s="709"/>
      <c r="G15" s="709"/>
      <c r="H15" s="709"/>
      <c r="I15" s="709"/>
      <c r="J15" s="710"/>
    </row>
    <row r="16" spans="1:10" ht="13.5" customHeight="1">
      <c r="A16" s="77" t="s">
        <v>1936</v>
      </c>
      <c r="B16" s="708" t="s">
        <v>1937</v>
      </c>
      <c r="C16" s="709"/>
      <c r="D16" s="709"/>
      <c r="E16" s="709"/>
      <c r="F16" s="709"/>
      <c r="G16" s="709"/>
      <c r="H16" s="709"/>
      <c r="I16" s="709"/>
      <c r="J16" s="710"/>
    </row>
    <row r="17" spans="1:10" ht="13.5" customHeight="1">
      <c r="A17" s="77" t="s">
        <v>1938</v>
      </c>
      <c r="B17" s="708" t="s">
        <v>1939</v>
      </c>
      <c r="C17" s="709"/>
      <c r="D17" s="709"/>
      <c r="E17" s="709"/>
      <c r="F17" s="709"/>
      <c r="G17" s="709"/>
      <c r="H17" s="709"/>
      <c r="I17" s="709"/>
      <c r="J17" s="710"/>
    </row>
    <row r="18" spans="1:10" ht="13.5" customHeight="1">
      <c r="A18" s="77" t="s">
        <v>1940</v>
      </c>
      <c r="B18" s="708" t="s">
        <v>936</v>
      </c>
      <c r="C18" s="709"/>
      <c r="D18" s="709"/>
      <c r="E18" s="709"/>
      <c r="F18" s="709"/>
      <c r="G18" s="709"/>
      <c r="H18" s="709"/>
      <c r="I18" s="709"/>
      <c r="J18" s="710"/>
    </row>
    <row r="19" spans="1:10" ht="13.5" customHeight="1">
      <c r="A19" s="77" t="s">
        <v>937</v>
      </c>
      <c r="B19" s="708" t="s">
        <v>531</v>
      </c>
      <c r="C19" s="709"/>
      <c r="D19" s="709"/>
      <c r="E19" s="709"/>
      <c r="F19" s="709"/>
      <c r="G19" s="709"/>
      <c r="H19" s="709"/>
      <c r="I19" s="709"/>
      <c r="J19" s="710"/>
    </row>
    <row r="20" spans="1:10" ht="13.5" customHeight="1">
      <c r="A20" s="77" t="s">
        <v>532</v>
      </c>
      <c r="B20" s="708" t="s">
        <v>533</v>
      </c>
      <c r="C20" s="709"/>
      <c r="D20" s="709"/>
      <c r="E20" s="709"/>
      <c r="F20" s="709"/>
      <c r="G20" s="709"/>
      <c r="H20" s="709"/>
      <c r="I20" s="709"/>
      <c r="J20" s="710"/>
    </row>
    <row r="21" spans="1:10" ht="13.5" customHeight="1">
      <c r="A21" s="77" t="s">
        <v>534</v>
      </c>
      <c r="B21" s="708" t="s">
        <v>535</v>
      </c>
      <c r="C21" s="709"/>
      <c r="D21" s="709"/>
      <c r="E21" s="709"/>
      <c r="F21" s="709"/>
      <c r="G21" s="709"/>
      <c r="H21" s="709"/>
      <c r="I21" s="709"/>
      <c r="J21" s="710"/>
    </row>
    <row r="22" spans="1:10" ht="13.5" customHeight="1">
      <c r="A22" s="77" t="s">
        <v>536</v>
      </c>
      <c r="B22" s="708" t="s">
        <v>537</v>
      </c>
      <c r="C22" s="709"/>
      <c r="D22" s="709"/>
      <c r="E22" s="709"/>
      <c r="F22" s="709"/>
      <c r="G22" s="709"/>
      <c r="H22" s="709"/>
      <c r="I22" s="709"/>
      <c r="J22" s="710"/>
    </row>
    <row r="23" spans="1:10" ht="13.5" customHeight="1">
      <c r="A23" s="77" t="s">
        <v>538</v>
      </c>
      <c r="B23" s="708" t="s">
        <v>539</v>
      </c>
      <c r="C23" s="709"/>
      <c r="D23" s="709"/>
      <c r="E23" s="709"/>
      <c r="F23" s="709"/>
      <c r="G23" s="709"/>
      <c r="H23" s="709"/>
      <c r="I23" s="709"/>
      <c r="J23" s="710"/>
    </row>
    <row r="24" spans="1:10" ht="13.5" customHeight="1">
      <c r="A24" s="77" t="s">
        <v>540</v>
      </c>
      <c r="B24" s="708" t="s">
        <v>541</v>
      </c>
      <c r="C24" s="709"/>
      <c r="D24" s="709"/>
      <c r="E24" s="709"/>
      <c r="F24" s="709"/>
      <c r="G24" s="709"/>
      <c r="H24" s="709"/>
      <c r="I24" s="709"/>
      <c r="J24" s="710"/>
    </row>
    <row r="25" spans="1:10" ht="13.5" customHeight="1">
      <c r="A25" s="77" t="s">
        <v>542</v>
      </c>
      <c r="B25" s="708" t="s">
        <v>543</v>
      </c>
      <c r="C25" s="709"/>
      <c r="D25" s="709"/>
      <c r="E25" s="709"/>
      <c r="F25" s="709"/>
      <c r="G25" s="709"/>
      <c r="H25" s="709"/>
      <c r="I25" s="709"/>
      <c r="J25" s="710"/>
    </row>
    <row r="26" spans="1:10" ht="13.5" customHeight="1">
      <c r="A26" s="77" t="s">
        <v>544</v>
      </c>
      <c r="B26" s="708" t="s">
        <v>545</v>
      </c>
      <c r="C26" s="709"/>
      <c r="D26" s="709"/>
      <c r="E26" s="709"/>
      <c r="F26" s="709"/>
      <c r="G26" s="709"/>
      <c r="H26" s="709"/>
      <c r="I26" s="709"/>
      <c r="J26" s="710"/>
    </row>
    <row r="27" spans="1:10" ht="13.5" customHeight="1">
      <c r="A27" s="77" t="s">
        <v>546</v>
      </c>
      <c r="B27" s="708" t="s">
        <v>547</v>
      </c>
      <c r="C27" s="709"/>
      <c r="D27" s="709"/>
      <c r="E27" s="709"/>
      <c r="F27" s="709"/>
      <c r="G27" s="709"/>
      <c r="H27" s="709"/>
      <c r="I27" s="709"/>
      <c r="J27" s="710"/>
    </row>
    <row r="28" spans="1:10" ht="13.5" customHeight="1">
      <c r="A28" s="77" t="s">
        <v>548</v>
      </c>
      <c r="B28" s="708" t="s">
        <v>549</v>
      </c>
      <c r="C28" s="709"/>
      <c r="D28" s="709"/>
      <c r="E28" s="709"/>
      <c r="F28" s="709"/>
      <c r="G28" s="709"/>
      <c r="H28" s="709"/>
      <c r="I28" s="709"/>
      <c r="J28" s="710"/>
    </row>
    <row r="29" spans="1:10" ht="13.5" customHeight="1">
      <c r="A29" s="77" t="s">
        <v>550</v>
      </c>
      <c r="B29" s="708" t="s">
        <v>484</v>
      </c>
      <c r="C29" s="709"/>
      <c r="D29" s="709"/>
      <c r="E29" s="709"/>
      <c r="F29" s="709"/>
      <c r="G29" s="709"/>
      <c r="H29" s="709"/>
      <c r="I29" s="709"/>
      <c r="J29" s="710"/>
    </row>
    <row r="30" spans="1:10" ht="13.5" customHeight="1">
      <c r="A30" s="77" t="s">
        <v>485</v>
      </c>
      <c r="B30" s="708" t="s">
        <v>486</v>
      </c>
      <c r="C30" s="709"/>
      <c r="D30" s="709"/>
      <c r="E30" s="709"/>
      <c r="F30" s="709"/>
      <c r="G30" s="709"/>
      <c r="H30" s="709"/>
      <c r="I30" s="709"/>
      <c r="J30" s="710"/>
    </row>
    <row r="31" spans="1:10" ht="13.5" customHeight="1">
      <c r="A31" s="77" t="s">
        <v>487</v>
      </c>
      <c r="B31" s="708" t="s">
        <v>79</v>
      </c>
      <c r="C31" s="709"/>
      <c r="D31" s="709"/>
      <c r="E31" s="709"/>
      <c r="F31" s="709"/>
      <c r="G31" s="709"/>
      <c r="H31" s="709"/>
      <c r="I31" s="709"/>
      <c r="J31" s="710"/>
    </row>
    <row r="32" spans="1:10" ht="13.5" customHeight="1">
      <c r="A32" s="77" t="s">
        <v>80</v>
      </c>
      <c r="B32" s="708" t="s">
        <v>81</v>
      </c>
      <c r="C32" s="709"/>
      <c r="D32" s="709"/>
      <c r="E32" s="709"/>
      <c r="F32" s="709"/>
      <c r="G32" s="709"/>
      <c r="H32" s="709"/>
      <c r="I32" s="709"/>
      <c r="J32" s="710"/>
    </row>
    <row r="33" spans="1:10" ht="13.5" customHeight="1">
      <c r="A33" s="77" t="s">
        <v>82</v>
      </c>
      <c r="B33" s="708" t="s">
        <v>83</v>
      </c>
      <c r="C33" s="709"/>
      <c r="D33" s="709"/>
      <c r="E33" s="709"/>
      <c r="F33" s="709"/>
      <c r="G33" s="709"/>
      <c r="H33" s="709"/>
      <c r="I33" s="709"/>
      <c r="J33" s="710"/>
    </row>
    <row r="34" spans="1:10" ht="13.5" customHeight="1">
      <c r="A34" s="77" t="s">
        <v>84</v>
      </c>
      <c r="B34" s="708" t="s">
        <v>85</v>
      </c>
      <c r="C34" s="709"/>
      <c r="D34" s="709"/>
      <c r="E34" s="709"/>
      <c r="F34" s="709"/>
      <c r="G34" s="709"/>
      <c r="H34" s="709"/>
      <c r="I34" s="709"/>
      <c r="J34" s="710"/>
    </row>
    <row r="35" spans="1:10" ht="13.5" customHeight="1">
      <c r="A35" s="77" t="s">
        <v>86</v>
      </c>
      <c r="B35" s="708" t="s">
        <v>87</v>
      </c>
      <c r="C35" s="709"/>
      <c r="D35" s="709"/>
      <c r="E35" s="709"/>
      <c r="F35" s="709"/>
      <c r="G35" s="709"/>
      <c r="H35" s="709"/>
      <c r="I35" s="709"/>
      <c r="J35" s="710"/>
    </row>
    <row r="36" spans="1:10" ht="13.5" customHeight="1">
      <c r="A36" s="77" t="s">
        <v>88</v>
      </c>
      <c r="B36" s="708" t="s">
        <v>89</v>
      </c>
      <c r="C36" s="709"/>
      <c r="D36" s="709"/>
      <c r="E36" s="709"/>
      <c r="F36" s="709"/>
      <c r="G36" s="709"/>
      <c r="H36" s="709"/>
      <c r="I36" s="709"/>
      <c r="J36" s="710"/>
    </row>
    <row r="37" spans="1:10" ht="13.5" customHeight="1">
      <c r="A37" s="77" t="s">
        <v>90</v>
      </c>
      <c r="B37" s="708" t="s">
        <v>91</v>
      </c>
      <c r="C37" s="709"/>
      <c r="D37" s="709"/>
      <c r="E37" s="709"/>
      <c r="F37" s="709"/>
      <c r="G37" s="709"/>
      <c r="H37" s="709"/>
      <c r="I37" s="709"/>
      <c r="J37" s="710"/>
    </row>
    <row r="38" spans="1:10" ht="13.5" customHeight="1">
      <c r="A38" s="77" t="s">
        <v>92</v>
      </c>
      <c r="B38" s="708" t="s">
        <v>93</v>
      </c>
      <c r="C38" s="709"/>
      <c r="D38" s="709"/>
      <c r="E38" s="709"/>
      <c r="F38" s="709"/>
      <c r="G38" s="709"/>
      <c r="H38" s="709"/>
      <c r="I38" s="709"/>
      <c r="J38" s="710"/>
    </row>
    <row r="39" spans="1:10" ht="13.5" customHeight="1">
      <c r="A39" s="77" t="s">
        <v>94</v>
      </c>
      <c r="B39" s="708" t="s">
        <v>95</v>
      </c>
      <c r="C39" s="709"/>
      <c r="D39" s="709"/>
      <c r="E39" s="709"/>
      <c r="F39" s="709"/>
      <c r="G39" s="709"/>
      <c r="H39" s="709"/>
      <c r="I39" s="709"/>
      <c r="J39" s="710"/>
    </row>
    <row r="40" spans="1:10" ht="13.5" customHeight="1">
      <c r="A40" s="77" t="s">
        <v>96</v>
      </c>
      <c r="B40" s="708" t="s">
        <v>2162</v>
      </c>
      <c r="C40" s="709"/>
      <c r="D40" s="709"/>
      <c r="E40" s="709"/>
      <c r="F40" s="709"/>
      <c r="G40" s="709"/>
      <c r="H40" s="709"/>
      <c r="I40" s="709"/>
      <c r="J40" s="710"/>
    </row>
    <row r="41" spans="1:10" ht="13.5" customHeight="1">
      <c r="A41" s="77" t="s">
        <v>2163</v>
      </c>
      <c r="B41" s="708" t="s">
        <v>2164</v>
      </c>
      <c r="C41" s="709"/>
      <c r="D41" s="709"/>
      <c r="E41" s="709"/>
      <c r="F41" s="709"/>
      <c r="G41" s="709"/>
      <c r="H41" s="709"/>
      <c r="I41" s="709"/>
      <c r="J41" s="710"/>
    </row>
    <row r="42" spans="1:10" ht="13.5" customHeight="1">
      <c r="A42" s="77" t="s">
        <v>2165</v>
      </c>
      <c r="B42" s="708" t="s">
        <v>2166</v>
      </c>
      <c r="C42" s="709"/>
      <c r="D42" s="709"/>
      <c r="E42" s="709"/>
      <c r="F42" s="709"/>
      <c r="G42" s="709"/>
      <c r="H42" s="709"/>
      <c r="I42" s="709"/>
      <c r="J42" s="710"/>
    </row>
    <row r="43" spans="1:10" ht="13.5" customHeight="1">
      <c r="A43" s="77" t="s">
        <v>2167</v>
      </c>
      <c r="B43" s="708" t="s">
        <v>1552</v>
      </c>
      <c r="C43" s="709"/>
      <c r="D43" s="709"/>
      <c r="E43" s="709"/>
      <c r="F43" s="709"/>
      <c r="G43" s="709"/>
      <c r="H43" s="709"/>
      <c r="I43" s="709"/>
      <c r="J43" s="710"/>
    </row>
    <row r="44" spans="1:10" ht="13.5" customHeight="1">
      <c r="A44" s="77" t="s">
        <v>1553</v>
      </c>
      <c r="B44" s="708" t="s">
        <v>1554</v>
      </c>
      <c r="C44" s="709"/>
      <c r="D44" s="709"/>
      <c r="E44" s="709"/>
      <c r="F44" s="709"/>
      <c r="G44" s="709"/>
      <c r="H44" s="709"/>
      <c r="I44" s="709"/>
      <c r="J44" s="710"/>
    </row>
    <row r="45" spans="1:10" ht="13.5" customHeight="1">
      <c r="A45" s="77" t="s">
        <v>1555</v>
      </c>
      <c r="B45" s="708" t="s">
        <v>122</v>
      </c>
      <c r="C45" s="709"/>
      <c r="D45" s="709"/>
      <c r="E45" s="709"/>
      <c r="F45" s="709"/>
      <c r="G45" s="709"/>
      <c r="H45" s="709"/>
      <c r="I45" s="709"/>
      <c r="J45" s="710"/>
    </row>
    <row r="46" spans="1:10" ht="13.5" customHeight="1">
      <c r="A46" s="77" t="s">
        <v>123</v>
      </c>
      <c r="B46" s="708" t="s">
        <v>124</v>
      </c>
      <c r="C46" s="709"/>
      <c r="D46" s="709"/>
      <c r="E46" s="709"/>
      <c r="F46" s="709"/>
      <c r="G46" s="709"/>
      <c r="H46" s="709"/>
      <c r="I46" s="709"/>
      <c r="J46" s="710"/>
    </row>
    <row r="47" spans="1:10" ht="13.5" customHeight="1">
      <c r="A47" s="77" t="s">
        <v>125</v>
      </c>
      <c r="B47" s="708" t="s">
        <v>126</v>
      </c>
      <c r="C47" s="709"/>
      <c r="D47" s="709"/>
      <c r="E47" s="709"/>
      <c r="F47" s="709"/>
      <c r="G47" s="709"/>
      <c r="H47" s="709"/>
      <c r="I47" s="709"/>
      <c r="J47" s="710"/>
    </row>
    <row r="48" spans="1:10" ht="13.5" customHeight="1">
      <c r="A48" s="77" t="s">
        <v>127</v>
      </c>
      <c r="B48" s="708" t="s">
        <v>128</v>
      </c>
      <c r="C48" s="709"/>
      <c r="D48" s="709"/>
      <c r="E48" s="709"/>
      <c r="F48" s="709"/>
      <c r="G48" s="709"/>
      <c r="H48" s="709"/>
      <c r="I48" s="709"/>
      <c r="J48" s="710"/>
    </row>
    <row r="49" spans="1:10" ht="13.5" customHeight="1">
      <c r="A49" s="77" t="s">
        <v>129</v>
      </c>
      <c r="B49" s="708" t="s">
        <v>130</v>
      </c>
      <c r="C49" s="709"/>
      <c r="D49" s="709"/>
      <c r="E49" s="709"/>
      <c r="F49" s="709"/>
      <c r="G49" s="709"/>
      <c r="H49" s="709"/>
      <c r="I49" s="709"/>
      <c r="J49" s="710"/>
    </row>
    <row r="50" spans="1:10" ht="13.5" customHeight="1">
      <c r="A50" s="77" t="s">
        <v>131</v>
      </c>
      <c r="B50" s="708" t="s">
        <v>132</v>
      </c>
      <c r="C50" s="709"/>
      <c r="D50" s="709"/>
      <c r="E50" s="709"/>
      <c r="F50" s="709"/>
      <c r="G50" s="709"/>
      <c r="H50" s="709"/>
      <c r="I50" s="709"/>
      <c r="J50" s="710"/>
    </row>
    <row r="51" spans="1:10" ht="13.5" customHeight="1">
      <c r="A51" s="77" t="s">
        <v>133</v>
      </c>
      <c r="B51" s="708" t="s">
        <v>134</v>
      </c>
      <c r="C51" s="709"/>
      <c r="D51" s="709"/>
      <c r="E51" s="709"/>
      <c r="F51" s="709"/>
      <c r="G51" s="709"/>
      <c r="H51" s="709"/>
      <c r="I51" s="709"/>
      <c r="J51" s="710"/>
    </row>
    <row r="52" spans="1:10" ht="13.5" customHeight="1">
      <c r="A52" s="77" t="s">
        <v>135</v>
      </c>
      <c r="B52" s="708" t="s">
        <v>136</v>
      </c>
      <c r="C52" s="709"/>
      <c r="D52" s="709"/>
      <c r="E52" s="709"/>
      <c r="F52" s="709"/>
      <c r="G52" s="709"/>
      <c r="H52" s="709"/>
      <c r="I52" s="709"/>
      <c r="J52" s="710"/>
    </row>
    <row r="53" spans="1:10" ht="13.5" customHeight="1">
      <c r="A53" s="77" t="s">
        <v>137</v>
      </c>
      <c r="B53" s="708" t="s">
        <v>138</v>
      </c>
      <c r="C53" s="709"/>
      <c r="D53" s="709"/>
      <c r="E53" s="709"/>
      <c r="F53" s="709"/>
      <c r="G53" s="709"/>
      <c r="H53" s="709"/>
      <c r="I53" s="709"/>
      <c r="J53" s="710"/>
    </row>
    <row r="54" spans="1:10" ht="13.5" customHeight="1">
      <c r="A54" s="77" t="s">
        <v>1097</v>
      </c>
      <c r="B54" s="708" t="s">
        <v>1098</v>
      </c>
      <c r="C54" s="709"/>
      <c r="D54" s="709"/>
      <c r="E54" s="709"/>
      <c r="F54" s="709"/>
      <c r="G54" s="709"/>
      <c r="H54" s="709"/>
      <c r="I54" s="709"/>
      <c r="J54" s="710"/>
    </row>
    <row r="55" spans="1:10" ht="13.5" customHeight="1">
      <c r="A55" s="77" t="s">
        <v>1099</v>
      </c>
      <c r="B55" s="708" t="s">
        <v>1100</v>
      </c>
      <c r="C55" s="709"/>
      <c r="D55" s="709"/>
      <c r="E55" s="709"/>
      <c r="F55" s="709"/>
      <c r="G55" s="709"/>
      <c r="H55" s="709"/>
      <c r="I55" s="709"/>
      <c r="J55" s="710"/>
    </row>
    <row r="56" spans="1:10" ht="13.5" customHeight="1">
      <c r="A56" s="77" t="s">
        <v>1101</v>
      </c>
      <c r="B56" s="708" t="s">
        <v>1102</v>
      </c>
      <c r="C56" s="709"/>
      <c r="D56" s="709"/>
      <c r="E56" s="709"/>
      <c r="F56" s="709"/>
      <c r="G56" s="709"/>
      <c r="H56" s="709"/>
      <c r="I56" s="709"/>
      <c r="J56" s="710"/>
    </row>
    <row r="57" spans="1:10" ht="13.5" customHeight="1">
      <c r="A57" s="77" t="s">
        <v>1103</v>
      </c>
      <c r="B57" s="708" t="s">
        <v>1104</v>
      </c>
      <c r="C57" s="709"/>
      <c r="D57" s="709"/>
      <c r="E57" s="709"/>
      <c r="F57" s="709"/>
      <c r="G57" s="709"/>
      <c r="H57" s="709"/>
      <c r="I57" s="709"/>
      <c r="J57" s="710"/>
    </row>
    <row r="58" spans="1:10" ht="13.5" customHeight="1">
      <c r="A58" s="77" t="s">
        <v>1105</v>
      </c>
      <c r="B58" s="708" t="s">
        <v>1106</v>
      </c>
      <c r="C58" s="709"/>
      <c r="D58" s="709"/>
      <c r="E58" s="709"/>
      <c r="F58" s="709"/>
      <c r="G58" s="709"/>
      <c r="H58" s="709"/>
      <c r="I58" s="709"/>
      <c r="J58" s="710"/>
    </row>
    <row r="59" spans="1:10" ht="13.5" customHeight="1">
      <c r="A59" s="77" t="s">
        <v>1107</v>
      </c>
      <c r="B59" s="708" t="s">
        <v>2377</v>
      </c>
      <c r="C59" s="709"/>
      <c r="D59" s="709"/>
      <c r="E59" s="709"/>
      <c r="F59" s="709"/>
      <c r="G59" s="709"/>
      <c r="H59" s="709"/>
      <c r="I59" s="709"/>
      <c r="J59" s="710"/>
    </row>
    <row r="60" spans="1:10" ht="13.5" customHeight="1">
      <c r="A60" s="77" t="s">
        <v>2378</v>
      </c>
      <c r="B60" s="708" t="s">
        <v>2379</v>
      </c>
      <c r="C60" s="709"/>
      <c r="D60" s="709"/>
      <c r="E60" s="709"/>
      <c r="F60" s="709"/>
      <c r="G60" s="709"/>
      <c r="H60" s="709"/>
      <c r="I60" s="709"/>
      <c r="J60" s="710"/>
    </row>
    <row r="61" spans="1:10" ht="13.5" customHeight="1">
      <c r="A61" s="77" t="s">
        <v>2380</v>
      </c>
      <c r="B61" s="708" t="s">
        <v>2381</v>
      </c>
      <c r="C61" s="709"/>
      <c r="D61" s="709"/>
      <c r="E61" s="709"/>
      <c r="F61" s="709"/>
      <c r="G61" s="709"/>
      <c r="H61" s="709"/>
      <c r="I61" s="709"/>
      <c r="J61" s="710"/>
    </row>
    <row r="62" spans="1:10" ht="13.5" customHeight="1">
      <c r="A62" s="77" t="s">
        <v>2382</v>
      </c>
      <c r="B62" s="708" t="s">
        <v>2383</v>
      </c>
      <c r="C62" s="709"/>
      <c r="D62" s="709"/>
      <c r="E62" s="709"/>
      <c r="F62" s="709"/>
      <c r="G62" s="709"/>
      <c r="H62" s="709"/>
      <c r="I62" s="709"/>
      <c r="J62" s="710"/>
    </row>
    <row r="63" spans="1:10" ht="13.5" customHeight="1">
      <c r="A63" s="77" t="s">
        <v>2384</v>
      </c>
      <c r="B63" s="708" t="s">
        <v>2385</v>
      </c>
      <c r="C63" s="709"/>
      <c r="D63" s="709"/>
      <c r="E63" s="709"/>
      <c r="F63" s="709"/>
      <c r="G63" s="709"/>
      <c r="H63" s="709"/>
      <c r="I63" s="709"/>
      <c r="J63" s="710"/>
    </row>
    <row r="64" spans="1:10" ht="13.5" customHeight="1">
      <c r="A64" s="77" t="s">
        <v>2386</v>
      </c>
      <c r="B64" s="708" t="s">
        <v>2387</v>
      </c>
      <c r="C64" s="709"/>
      <c r="D64" s="709"/>
      <c r="E64" s="709"/>
      <c r="F64" s="709"/>
      <c r="G64" s="709"/>
      <c r="H64" s="709"/>
      <c r="I64" s="709"/>
      <c r="J64" s="710"/>
    </row>
    <row r="65" spans="1:10" ht="13.5" customHeight="1">
      <c r="A65" s="77" t="s">
        <v>2388</v>
      </c>
      <c r="B65" s="708" t="s">
        <v>2389</v>
      </c>
      <c r="C65" s="709"/>
      <c r="D65" s="709"/>
      <c r="E65" s="709"/>
      <c r="F65" s="709"/>
      <c r="G65" s="709"/>
      <c r="H65" s="709"/>
      <c r="I65" s="709"/>
      <c r="J65" s="710"/>
    </row>
    <row r="66" spans="1:10" ht="13.5" customHeight="1">
      <c r="A66" s="77" t="s">
        <v>2390</v>
      </c>
      <c r="B66" s="708" t="s">
        <v>2391</v>
      </c>
      <c r="C66" s="709"/>
      <c r="D66" s="709"/>
      <c r="E66" s="709"/>
      <c r="F66" s="709"/>
      <c r="G66" s="709"/>
      <c r="H66" s="709"/>
      <c r="I66" s="709"/>
      <c r="J66" s="710"/>
    </row>
    <row r="67" spans="1:10" ht="13.5" customHeight="1">
      <c r="A67" s="77" t="s">
        <v>2392</v>
      </c>
      <c r="B67" s="708" t="s">
        <v>2393</v>
      </c>
      <c r="C67" s="709"/>
      <c r="D67" s="709"/>
      <c r="E67" s="709"/>
      <c r="F67" s="709"/>
      <c r="G67" s="709"/>
      <c r="H67" s="709"/>
      <c r="I67" s="709"/>
      <c r="J67" s="710"/>
    </row>
    <row r="68" spans="1:10" ht="13.5" customHeight="1">
      <c r="A68" s="77" t="s">
        <v>2394</v>
      </c>
      <c r="B68" s="708" t="s">
        <v>2395</v>
      </c>
      <c r="C68" s="709"/>
      <c r="D68" s="709"/>
      <c r="E68" s="709"/>
      <c r="F68" s="709"/>
      <c r="G68" s="709"/>
      <c r="H68" s="709"/>
      <c r="I68" s="709"/>
      <c r="J68" s="710"/>
    </row>
    <row r="69" spans="1:10" ht="13.5" customHeight="1">
      <c r="A69" s="77" t="s">
        <v>2396</v>
      </c>
      <c r="B69" s="708" t="s">
        <v>2397</v>
      </c>
      <c r="C69" s="709"/>
      <c r="D69" s="709"/>
      <c r="E69" s="709"/>
      <c r="F69" s="709"/>
      <c r="G69" s="709"/>
      <c r="H69" s="709"/>
      <c r="I69" s="709"/>
      <c r="J69" s="710"/>
    </row>
    <row r="70" spans="1:10" ht="13.5" customHeight="1">
      <c r="A70" s="77" t="s">
        <v>2398</v>
      </c>
      <c r="B70" s="708" t="s">
        <v>2399</v>
      </c>
      <c r="C70" s="709"/>
      <c r="D70" s="709"/>
      <c r="E70" s="709"/>
      <c r="F70" s="709"/>
      <c r="G70" s="709"/>
      <c r="H70" s="709"/>
      <c r="I70" s="709"/>
      <c r="J70" s="710"/>
    </row>
    <row r="71" spans="1:10" ht="13.5" customHeight="1">
      <c r="A71" s="77" t="s">
        <v>2400</v>
      </c>
      <c r="B71" s="708" t="s">
        <v>1979</v>
      </c>
      <c r="C71" s="709"/>
      <c r="D71" s="709"/>
      <c r="E71" s="709"/>
      <c r="F71" s="709"/>
      <c r="G71" s="709"/>
      <c r="H71" s="709"/>
      <c r="I71" s="709"/>
      <c r="J71" s="710"/>
    </row>
    <row r="72" spans="1:10" ht="13.5" customHeight="1">
      <c r="A72" s="77" t="s">
        <v>1980</v>
      </c>
      <c r="B72" s="708" t="s">
        <v>1981</v>
      </c>
      <c r="C72" s="709"/>
      <c r="D72" s="709"/>
      <c r="E72" s="709"/>
      <c r="F72" s="709"/>
      <c r="G72" s="709"/>
      <c r="H72" s="709"/>
      <c r="I72" s="709"/>
      <c r="J72" s="710"/>
    </row>
    <row r="73" spans="1:10" ht="13.5" customHeight="1">
      <c r="A73" s="77" t="s">
        <v>1982</v>
      </c>
      <c r="B73" s="708" t="s">
        <v>1337</v>
      </c>
      <c r="C73" s="709"/>
      <c r="D73" s="709"/>
      <c r="E73" s="709"/>
      <c r="F73" s="709"/>
      <c r="G73" s="709"/>
      <c r="H73" s="709"/>
      <c r="I73" s="709"/>
      <c r="J73" s="710"/>
    </row>
    <row r="74" spans="1:10" ht="13.5" customHeight="1">
      <c r="A74" s="77" t="s">
        <v>1338</v>
      </c>
      <c r="B74" s="708" t="s">
        <v>1339</v>
      </c>
      <c r="C74" s="709"/>
      <c r="D74" s="709"/>
      <c r="E74" s="709"/>
      <c r="F74" s="709"/>
      <c r="G74" s="709"/>
      <c r="H74" s="709"/>
      <c r="I74" s="709"/>
      <c r="J74" s="710"/>
    </row>
    <row r="75" spans="1:10" ht="13.5" customHeight="1">
      <c r="A75" s="77" t="s">
        <v>1340</v>
      </c>
      <c r="B75" s="708" t="s">
        <v>1341</v>
      </c>
      <c r="C75" s="709"/>
      <c r="D75" s="709"/>
      <c r="E75" s="709"/>
      <c r="F75" s="709"/>
      <c r="G75" s="709"/>
      <c r="H75" s="709"/>
      <c r="I75" s="709"/>
      <c r="J75" s="710"/>
    </row>
    <row r="76" spans="1:10" ht="13.5" customHeight="1">
      <c r="A76" s="77" t="s">
        <v>1342</v>
      </c>
      <c r="B76" s="708" t="s">
        <v>1343</v>
      </c>
      <c r="C76" s="709"/>
      <c r="D76" s="709"/>
      <c r="E76" s="709"/>
      <c r="F76" s="709"/>
      <c r="G76" s="709"/>
      <c r="H76" s="709"/>
      <c r="I76" s="709"/>
      <c r="J76" s="710"/>
    </row>
    <row r="77" spans="1:10" ht="13.5" customHeight="1">
      <c r="A77" s="77" t="s">
        <v>1344</v>
      </c>
      <c r="B77" s="708" t="s">
        <v>1345</v>
      </c>
      <c r="C77" s="709"/>
      <c r="D77" s="709"/>
      <c r="E77" s="709"/>
      <c r="F77" s="709"/>
      <c r="G77" s="709"/>
      <c r="H77" s="709"/>
      <c r="I77" s="709"/>
      <c r="J77" s="710"/>
    </row>
    <row r="78" spans="1:10" ht="13.5" customHeight="1">
      <c r="A78" s="77" t="s">
        <v>1346</v>
      </c>
      <c r="B78" s="708" t="s">
        <v>1347</v>
      </c>
      <c r="C78" s="709"/>
      <c r="D78" s="709"/>
      <c r="E78" s="709"/>
      <c r="F78" s="709"/>
      <c r="G78" s="709"/>
      <c r="H78" s="709"/>
      <c r="I78" s="709"/>
      <c r="J78" s="710"/>
    </row>
    <row r="79" spans="1:10" ht="13.5" customHeight="1">
      <c r="A79" s="77" t="s">
        <v>1348</v>
      </c>
      <c r="B79" s="708" t="s">
        <v>1349</v>
      </c>
      <c r="C79" s="709"/>
      <c r="D79" s="709"/>
      <c r="E79" s="709"/>
      <c r="F79" s="709"/>
      <c r="G79" s="709"/>
      <c r="H79" s="709"/>
      <c r="I79" s="709"/>
      <c r="J79" s="710"/>
    </row>
    <row r="80" spans="1:10" ht="13.5" customHeight="1">
      <c r="A80" s="77" t="s">
        <v>17</v>
      </c>
      <c r="B80" s="708" t="s">
        <v>18</v>
      </c>
      <c r="C80" s="709"/>
      <c r="D80" s="709"/>
      <c r="E80" s="709"/>
      <c r="F80" s="709"/>
      <c r="G80" s="709"/>
      <c r="H80" s="709"/>
      <c r="I80" s="709"/>
      <c r="J80" s="710"/>
    </row>
    <row r="81" spans="1:10" ht="13.5" customHeight="1">
      <c r="A81" s="77" t="s">
        <v>19</v>
      </c>
      <c r="B81" s="708" t="s">
        <v>20</v>
      </c>
      <c r="C81" s="709"/>
      <c r="D81" s="709"/>
      <c r="E81" s="709"/>
      <c r="F81" s="709"/>
      <c r="G81" s="709"/>
      <c r="H81" s="709"/>
      <c r="I81" s="709"/>
      <c r="J81" s="710"/>
    </row>
    <row r="82" spans="1:10" ht="13.5" customHeight="1">
      <c r="A82" s="77" t="s">
        <v>21</v>
      </c>
      <c r="B82" s="708" t="s">
        <v>22</v>
      </c>
      <c r="C82" s="709"/>
      <c r="D82" s="709"/>
      <c r="E82" s="709"/>
      <c r="F82" s="709"/>
      <c r="G82" s="709"/>
      <c r="H82" s="709"/>
      <c r="I82" s="709"/>
      <c r="J82" s="710"/>
    </row>
    <row r="83" spans="1:10" ht="13.5" customHeight="1">
      <c r="A83" s="77" t="s">
        <v>23</v>
      </c>
      <c r="B83" s="708" t="s">
        <v>24</v>
      </c>
      <c r="C83" s="709"/>
      <c r="D83" s="709"/>
      <c r="E83" s="709"/>
      <c r="F83" s="709"/>
      <c r="G83" s="709"/>
      <c r="H83" s="709"/>
      <c r="I83" s="709"/>
      <c r="J83" s="710"/>
    </row>
    <row r="84" spans="1:10" ht="13.5" customHeight="1">
      <c r="A84" s="77" t="s">
        <v>25</v>
      </c>
      <c r="B84" s="708" t="s">
        <v>1807</v>
      </c>
      <c r="C84" s="709"/>
      <c r="D84" s="709"/>
      <c r="E84" s="709"/>
      <c r="F84" s="709"/>
      <c r="G84" s="709"/>
      <c r="H84" s="709"/>
      <c r="I84" s="709"/>
      <c r="J84" s="710"/>
    </row>
    <row r="85" spans="1:10" ht="13.5" customHeight="1">
      <c r="A85" s="77" t="s">
        <v>1808</v>
      </c>
      <c r="B85" s="708" t="s">
        <v>1809</v>
      </c>
      <c r="C85" s="709"/>
      <c r="D85" s="709"/>
      <c r="E85" s="709"/>
      <c r="F85" s="709"/>
      <c r="G85" s="709"/>
      <c r="H85" s="709"/>
      <c r="I85" s="709"/>
      <c r="J85" s="710"/>
    </row>
    <row r="86" spans="1:10" ht="13.5" customHeight="1">
      <c r="A86" s="77" t="s">
        <v>1810</v>
      </c>
      <c r="B86" s="708" t="s">
        <v>1811</v>
      </c>
      <c r="C86" s="709"/>
      <c r="D86" s="709"/>
      <c r="E86" s="709"/>
      <c r="F86" s="709"/>
      <c r="G86" s="709"/>
      <c r="H86" s="709"/>
      <c r="I86" s="709"/>
      <c r="J86" s="710"/>
    </row>
    <row r="87" spans="1:10" ht="13.5" customHeight="1">
      <c r="A87" s="77" t="s">
        <v>1812</v>
      </c>
      <c r="B87" s="708" t="s">
        <v>1813</v>
      </c>
      <c r="C87" s="709"/>
      <c r="D87" s="709"/>
      <c r="E87" s="709"/>
      <c r="F87" s="709"/>
      <c r="G87" s="709"/>
      <c r="H87" s="709"/>
      <c r="I87" s="709"/>
      <c r="J87" s="710"/>
    </row>
    <row r="88" spans="1:10" ht="13.5" customHeight="1">
      <c r="A88" s="77" t="s">
        <v>1814</v>
      </c>
      <c r="B88" s="708" t="s">
        <v>1815</v>
      </c>
      <c r="C88" s="709"/>
      <c r="D88" s="709"/>
      <c r="E88" s="709"/>
      <c r="F88" s="709"/>
      <c r="G88" s="709"/>
      <c r="H88" s="709"/>
      <c r="I88" s="709"/>
      <c r="J88" s="710"/>
    </row>
    <row r="89" spans="1:10" ht="13.5" customHeight="1">
      <c r="A89" s="77" t="s">
        <v>1816</v>
      </c>
      <c r="B89" s="708" t="s">
        <v>1817</v>
      </c>
      <c r="C89" s="709"/>
      <c r="D89" s="709"/>
      <c r="E89" s="709"/>
      <c r="F89" s="709"/>
      <c r="G89" s="709"/>
      <c r="H89" s="709"/>
      <c r="I89" s="709"/>
      <c r="J89" s="710"/>
    </row>
    <row r="90" spans="1:10" ht="13.5" customHeight="1">
      <c r="A90" s="77" t="s">
        <v>1818</v>
      </c>
      <c r="B90" s="708" t="s">
        <v>1819</v>
      </c>
      <c r="C90" s="709"/>
      <c r="D90" s="709"/>
      <c r="E90" s="709"/>
      <c r="F90" s="709"/>
      <c r="G90" s="709"/>
      <c r="H90" s="709"/>
      <c r="I90" s="709"/>
      <c r="J90" s="710"/>
    </row>
    <row r="91" spans="1:10" ht="13.5" customHeight="1">
      <c r="A91" s="77" t="s">
        <v>1820</v>
      </c>
      <c r="B91" s="708" t="s">
        <v>2064</v>
      </c>
      <c r="C91" s="709"/>
      <c r="D91" s="709"/>
      <c r="E91" s="709"/>
      <c r="F91" s="709"/>
      <c r="G91" s="709"/>
      <c r="H91" s="709"/>
      <c r="I91" s="709"/>
      <c r="J91" s="710"/>
    </row>
    <row r="92" spans="1:10" ht="13.5" customHeight="1">
      <c r="A92" s="77" t="s">
        <v>2065</v>
      </c>
      <c r="B92" s="708" t="s">
        <v>2066</v>
      </c>
      <c r="C92" s="709"/>
      <c r="D92" s="709"/>
      <c r="E92" s="709"/>
      <c r="F92" s="709"/>
      <c r="G92" s="709"/>
      <c r="H92" s="709"/>
      <c r="I92" s="709"/>
      <c r="J92" s="710"/>
    </row>
    <row r="93" spans="1:10" ht="13.5" customHeight="1">
      <c r="A93" s="77" t="s">
        <v>2067</v>
      </c>
      <c r="B93" s="708" t="s">
        <v>2068</v>
      </c>
      <c r="C93" s="709"/>
      <c r="D93" s="709"/>
      <c r="E93" s="709"/>
      <c r="F93" s="709"/>
      <c r="G93" s="709"/>
      <c r="H93" s="709"/>
      <c r="I93" s="709"/>
      <c r="J93" s="710"/>
    </row>
    <row r="94" spans="1:10" ht="13.5" customHeight="1">
      <c r="A94" s="77" t="s">
        <v>2069</v>
      </c>
      <c r="B94" s="708" t="s">
        <v>2070</v>
      </c>
      <c r="C94" s="709"/>
      <c r="D94" s="709"/>
      <c r="E94" s="709"/>
      <c r="F94" s="709"/>
      <c r="G94" s="709"/>
      <c r="H94" s="709"/>
      <c r="I94" s="709"/>
      <c r="J94" s="710"/>
    </row>
    <row r="95" spans="1:10" ht="13.5" customHeight="1">
      <c r="A95" s="77" t="s">
        <v>2071</v>
      </c>
      <c r="B95" s="708" t="s">
        <v>2072</v>
      </c>
      <c r="C95" s="709"/>
      <c r="D95" s="709"/>
      <c r="E95" s="709"/>
      <c r="F95" s="709"/>
      <c r="G95" s="709"/>
      <c r="H95" s="709"/>
      <c r="I95" s="709"/>
      <c r="J95" s="710"/>
    </row>
    <row r="96" spans="1:10" ht="13.5" customHeight="1">
      <c r="A96" s="77" t="s">
        <v>2073</v>
      </c>
      <c r="B96" s="708" t="s">
        <v>2074</v>
      </c>
      <c r="C96" s="709"/>
      <c r="D96" s="709"/>
      <c r="E96" s="709"/>
      <c r="F96" s="709"/>
      <c r="G96" s="709"/>
      <c r="H96" s="709"/>
      <c r="I96" s="709"/>
      <c r="J96" s="710"/>
    </row>
    <row r="97" spans="1:10" ht="13.5" customHeight="1">
      <c r="A97" s="77" t="s">
        <v>2075</v>
      </c>
      <c r="B97" s="708" t="s">
        <v>2076</v>
      </c>
      <c r="C97" s="709"/>
      <c r="D97" s="709"/>
      <c r="E97" s="709"/>
      <c r="F97" s="709"/>
      <c r="G97" s="709"/>
      <c r="H97" s="709"/>
      <c r="I97" s="709"/>
      <c r="J97" s="710"/>
    </row>
    <row r="98" spans="1:10" ht="13.5" customHeight="1">
      <c r="A98" s="77" t="s">
        <v>2077</v>
      </c>
      <c r="B98" s="708" t="s">
        <v>2078</v>
      </c>
      <c r="C98" s="709"/>
      <c r="D98" s="709"/>
      <c r="E98" s="709"/>
      <c r="F98" s="709"/>
      <c r="G98" s="709"/>
      <c r="H98" s="709"/>
      <c r="I98" s="709"/>
      <c r="J98" s="710"/>
    </row>
    <row r="99" spans="1:10" ht="13.5" customHeight="1">
      <c r="A99" s="77" t="s">
        <v>2079</v>
      </c>
      <c r="B99" s="708" t="s">
        <v>2080</v>
      </c>
      <c r="C99" s="709"/>
      <c r="D99" s="709"/>
      <c r="E99" s="709"/>
      <c r="F99" s="709"/>
      <c r="G99" s="709"/>
      <c r="H99" s="709"/>
      <c r="I99" s="709"/>
      <c r="J99" s="710"/>
    </row>
    <row r="100" spans="1:10" ht="13.5" customHeight="1">
      <c r="A100" s="77" t="s">
        <v>2081</v>
      </c>
      <c r="B100" s="708" t="s">
        <v>2082</v>
      </c>
      <c r="C100" s="709"/>
      <c r="D100" s="709"/>
      <c r="E100" s="709"/>
      <c r="F100" s="709"/>
      <c r="G100" s="709"/>
      <c r="H100" s="709"/>
      <c r="I100" s="709"/>
      <c r="J100" s="710"/>
    </row>
    <row r="101" spans="1:10" ht="13.5" customHeight="1">
      <c r="A101" s="77" t="s">
        <v>2083</v>
      </c>
      <c r="B101" s="708" t="s">
        <v>2084</v>
      </c>
      <c r="C101" s="709"/>
      <c r="D101" s="709"/>
      <c r="E101" s="709"/>
      <c r="F101" s="709"/>
      <c r="G101" s="709"/>
      <c r="H101" s="709"/>
      <c r="I101" s="709"/>
      <c r="J101" s="710"/>
    </row>
    <row r="102" spans="1:10" ht="13.5" customHeight="1">
      <c r="A102" s="77" t="s">
        <v>2085</v>
      </c>
      <c r="B102" s="708" t="s">
        <v>2086</v>
      </c>
      <c r="C102" s="709"/>
      <c r="D102" s="709"/>
      <c r="E102" s="709"/>
      <c r="F102" s="709"/>
      <c r="G102" s="709"/>
      <c r="H102" s="709"/>
      <c r="I102" s="709"/>
      <c r="J102" s="710"/>
    </row>
    <row r="103" spans="1:10" ht="13.5" customHeight="1">
      <c r="A103" s="77" t="s">
        <v>2087</v>
      </c>
      <c r="B103" s="708" t="s">
        <v>2088</v>
      </c>
      <c r="C103" s="709"/>
      <c r="D103" s="709"/>
      <c r="E103" s="709"/>
      <c r="F103" s="709"/>
      <c r="G103" s="709"/>
      <c r="H103" s="709"/>
      <c r="I103" s="709"/>
      <c r="J103" s="710"/>
    </row>
    <row r="104" spans="1:10" ht="13.5" customHeight="1">
      <c r="A104" s="77" t="s">
        <v>2089</v>
      </c>
      <c r="B104" s="708" t="s">
        <v>2090</v>
      </c>
      <c r="C104" s="709"/>
      <c r="D104" s="709"/>
      <c r="E104" s="709"/>
      <c r="F104" s="709"/>
      <c r="G104" s="709"/>
      <c r="H104" s="709"/>
      <c r="I104" s="709"/>
      <c r="J104" s="710"/>
    </row>
    <row r="105" spans="1:10" ht="13.5" customHeight="1">
      <c r="A105" s="77" t="s">
        <v>2091</v>
      </c>
      <c r="B105" s="708" t="s">
        <v>2092</v>
      </c>
      <c r="C105" s="709"/>
      <c r="D105" s="709"/>
      <c r="E105" s="709"/>
      <c r="F105" s="709"/>
      <c r="G105" s="709"/>
      <c r="H105" s="709"/>
      <c r="I105" s="709"/>
      <c r="J105" s="710"/>
    </row>
    <row r="106" spans="1:10" ht="13.5" customHeight="1">
      <c r="A106" s="77" t="s">
        <v>2093</v>
      </c>
      <c r="B106" s="708" t="s">
        <v>2094</v>
      </c>
      <c r="C106" s="709"/>
      <c r="D106" s="709"/>
      <c r="E106" s="709"/>
      <c r="F106" s="709"/>
      <c r="G106" s="709"/>
      <c r="H106" s="709"/>
      <c r="I106" s="709"/>
      <c r="J106" s="710"/>
    </row>
    <row r="107" spans="1:10" ht="13.5" customHeight="1">
      <c r="A107" s="77" t="s">
        <v>2095</v>
      </c>
      <c r="B107" s="708" t="s">
        <v>2096</v>
      </c>
      <c r="C107" s="709"/>
      <c r="D107" s="709"/>
      <c r="E107" s="709"/>
      <c r="F107" s="709"/>
      <c r="G107" s="709"/>
      <c r="H107" s="709"/>
      <c r="I107" s="709"/>
      <c r="J107" s="710"/>
    </row>
    <row r="108" spans="1:10" ht="13.5" customHeight="1">
      <c r="A108" s="77" t="s">
        <v>2097</v>
      </c>
      <c r="B108" s="708" t="s">
        <v>2098</v>
      </c>
      <c r="C108" s="709"/>
      <c r="D108" s="709"/>
      <c r="E108" s="709"/>
      <c r="F108" s="709"/>
      <c r="G108" s="709"/>
      <c r="H108" s="709"/>
      <c r="I108" s="709"/>
      <c r="J108" s="710"/>
    </row>
    <row r="109" spans="1:10" ht="13.5" customHeight="1">
      <c r="A109" s="77" t="s">
        <v>2099</v>
      </c>
      <c r="B109" s="708" t="s">
        <v>2100</v>
      </c>
      <c r="C109" s="709"/>
      <c r="D109" s="709"/>
      <c r="E109" s="709"/>
      <c r="F109" s="709"/>
      <c r="G109" s="709"/>
      <c r="H109" s="709"/>
      <c r="I109" s="709"/>
      <c r="J109" s="710"/>
    </row>
    <row r="110" spans="1:10" ht="13.5" customHeight="1">
      <c r="A110" s="77" t="s">
        <v>2101</v>
      </c>
      <c r="B110" s="708" t="s">
        <v>2102</v>
      </c>
      <c r="C110" s="709"/>
      <c r="D110" s="709"/>
      <c r="E110" s="709"/>
      <c r="F110" s="709"/>
      <c r="G110" s="709"/>
      <c r="H110" s="709"/>
      <c r="I110" s="709"/>
      <c r="J110" s="710"/>
    </row>
    <row r="111" spans="1:10" ht="13.5" customHeight="1">
      <c r="A111" s="77" t="s">
        <v>2103</v>
      </c>
      <c r="B111" s="708" t="s">
        <v>2104</v>
      </c>
      <c r="C111" s="709"/>
      <c r="D111" s="709"/>
      <c r="E111" s="709"/>
      <c r="F111" s="709"/>
      <c r="G111" s="709"/>
      <c r="H111" s="709"/>
      <c r="I111" s="709"/>
      <c r="J111" s="710"/>
    </row>
    <row r="112" spans="1:10" ht="13.5" customHeight="1">
      <c r="A112" s="77" t="s">
        <v>780</v>
      </c>
      <c r="B112" s="708" t="s">
        <v>781</v>
      </c>
      <c r="C112" s="709"/>
      <c r="D112" s="709"/>
      <c r="E112" s="709"/>
      <c r="F112" s="709"/>
      <c r="G112" s="709"/>
      <c r="H112" s="709"/>
      <c r="I112" s="709"/>
      <c r="J112" s="710"/>
    </row>
    <row r="113" spans="1:10" ht="13.5" customHeight="1">
      <c r="A113" s="77" t="s">
        <v>782</v>
      </c>
      <c r="B113" s="708" t="s">
        <v>783</v>
      </c>
      <c r="C113" s="709"/>
      <c r="D113" s="709"/>
      <c r="E113" s="709"/>
      <c r="F113" s="709"/>
      <c r="G113" s="709"/>
      <c r="H113" s="709"/>
      <c r="I113" s="709"/>
      <c r="J113" s="710"/>
    </row>
    <row r="114" spans="1:10" ht="13.5" customHeight="1">
      <c r="A114" s="77" t="s">
        <v>784</v>
      </c>
      <c r="B114" s="708" t="s">
        <v>785</v>
      </c>
      <c r="C114" s="709"/>
      <c r="D114" s="709"/>
      <c r="E114" s="709"/>
      <c r="F114" s="709"/>
      <c r="G114" s="709"/>
      <c r="H114" s="709"/>
      <c r="I114" s="709"/>
      <c r="J114" s="710"/>
    </row>
    <row r="115" spans="1:10" ht="13.5" customHeight="1">
      <c r="A115" s="77" t="s">
        <v>786</v>
      </c>
      <c r="B115" s="708" t="s">
        <v>787</v>
      </c>
      <c r="C115" s="709"/>
      <c r="D115" s="709"/>
      <c r="E115" s="709"/>
      <c r="F115" s="709"/>
      <c r="G115" s="709"/>
      <c r="H115" s="709"/>
      <c r="I115" s="709"/>
      <c r="J115" s="710"/>
    </row>
    <row r="116" spans="1:10" ht="13.5" customHeight="1">
      <c r="A116" s="77" t="s">
        <v>788</v>
      </c>
      <c r="B116" s="708" t="s">
        <v>789</v>
      </c>
      <c r="C116" s="709"/>
      <c r="D116" s="709"/>
      <c r="E116" s="709"/>
      <c r="F116" s="709"/>
      <c r="G116" s="709"/>
      <c r="H116" s="709"/>
      <c r="I116" s="709"/>
      <c r="J116" s="710"/>
    </row>
    <row r="117" spans="1:10" ht="13.5" customHeight="1">
      <c r="A117" s="77" t="s">
        <v>790</v>
      </c>
      <c r="B117" s="708" t="s">
        <v>791</v>
      </c>
      <c r="C117" s="709"/>
      <c r="D117" s="709"/>
      <c r="E117" s="709"/>
      <c r="F117" s="709"/>
      <c r="G117" s="709"/>
      <c r="H117" s="709"/>
      <c r="I117" s="709"/>
      <c r="J117" s="710"/>
    </row>
    <row r="118" spans="1:10" ht="13.5" customHeight="1">
      <c r="A118" s="77" t="s">
        <v>792</v>
      </c>
      <c r="B118" s="708" t="s">
        <v>793</v>
      </c>
      <c r="C118" s="709"/>
      <c r="D118" s="709"/>
      <c r="E118" s="709"/>
      <c r="F118" s="709"/>
      <c r="G118" s="709"/>
      <c r="H118" s="709"/>
      <c r="I118" s="709"/>
      <c r="J118" s="710"/>
    </row>
    <row r="119" spans="1:10" ht="13.5" customHeight="1">
      <c r="A119" s="77" t="s">
        <v>794</v>
      </c>
      <c r="B119" s="708" t="s">
        <v>795</v>
      </c>
      <c r="C119" s="709"/>
      <c r="D119" s="709"/>
      <c r="E119" s="709"/>
      <c r="F119" s="709"/>
      <c r="G119" s="709"/>
      <c r="H119" s="709"/>
      <c r="I119" s="709"/>
      <c r="J119" s="710"/>
    </row>
    <row r="120" spans="1:10" ht="13.5" customHeight="1">
      <c r="A120" s="77" t="s">
        <v>796</v>
      </c>
      <c r="B120" s="708" t="s">
        <v>797</v>
      </c>
      <c r="C120" s="709"/>
      <c r="D120" s="709"/>
      <c r="E120" s="709"/>
      <c r="F120" s="709"/>
      <c r="G120" s="709"/>
      <c r="H120" s="709"/>
      <c r="I120" s="709"/>
      <c r="J120" s="710"/>
    </row>
    <row r="121" spans="1:10" ht="13.5" customHeight="1">
      <c r="A121" s="77" t="s">
        <v>798</v>
      </c>
      <c r="B121" s="708" t="s">
        <v>799</v>
      </c>
      <c r="C121" s="709"/>
      <c r="D121" s="709"/>
      <c r="E121" s="709"/>
      <c r="F121" s="709"/>
      <c r="G121" s="709"/>
      <c r="H121" s="709"/>
      <c r="I121" s="709"/>
      <c r="J121" s="710"/>
    </row>
    <row r="122" spans="1:10" ht="13.5" customHeight="1">
      <c r="A122" s="77" t="s">
        <v>800</v>
      </c>
      <c r="B122" s="708" t="s">
        <v>2401</v>
      </c>
      <c r="C122" s="709"/>
      <c r="D122" s="709"/>
      <c r="E122" s="709"/>
      <c r="F122" s="709"/>
      <c r="G122" s="709"/>
      <c r="H122" s="709"/>
      <c r="I122" s="709"/>
      <c r="J122" s="710"/>
    </row>
    <row r="123" spans="1:10" ht="13.5" customHeight="1">
      <c r="A123" s="77" t="s">
        <v>2402</v>
      </c>
      <c r="B123" s="708" t="s">
        <v>2403</v>
      </c>
      <c r="C123" s="709"/>
      <c r="D123" s="709"/>
      <c r="E123" s="709"/>
      <c r="F123" s="709"/>
      <c r="G123" s="709"/>
      <c r="H123" s="709"/>
      <c r="I123" s="709"/>
      <c r="J123" s="710"/>
    </row>
    <row r="124" spans="1:10" ht="13.5" customHeight="1">
      <c r="A124" s="77" t="s">
        <v>2404</v>
      </c>
      <c r="B124" s="708" t="s">
        <v>2405</v>
      </c>
      <c r="C124" s="709"/>
      <c r="D124" s="709"/>
      <c r="E124" s="709"/>
      <c r="F124" s="709"/>
      <c r="G124" s="709"/>
      <c r="H124" s="709"/>
      <c r="I124" s="709"/>
      <c r="J124" s="710"/>
    </row>
    <row r="125" spans="1:10" ht="13.5" customHeight="1">
      <c r="A125" s="77" t="s">
        <v>2406</v>
      </c>
      <c r="B125" s="708" t="s">
        <v>2407</v>
      </c>
      <c r="C125" s="709"/>
      <c r="D125" s="709"/>
      <c r="E125" s="709"/>
      <c r="F125" s="709"/>
      <c r="G125" s="709"/>
      <c r="H125" s="709"/>
      <c r="I125" s="709"/>
      <c r="J125" s="710"/>
    </row>
    <row r="126" spans="1:10" ht="13.5" customHeight="1">
      <c r="A126" s="77" t="s">
        <v>2408</v>
      </c>
      <c r="B126" s="708" t="s">
        <v>2409</v>
      </c>
      <c r="C126" s="709"/>
      <c r="D126" s="709"/>
      <c r="E126" s="709"/>
      <c r="F126" s="709"/>
      <c r="G126" s="709"/>
      <c r="H126" s="709"/>
      <c r="I126" s="709"/>
      <c r="J126" s="710"/>
    </row>
    <row r="127" spans="1:10" ht="13.5" customHeight="1">
      <c r="A127" s="77" t="s">
        <v>2410</v>
      </c>
      <c r="B127" s="708" t="s">
        <v>2411</v>
      </c>
      <c r="C127" s="709"/>
      <c r="D127" s="709"/>
      <c r="E127" s="709"/>
      <c r="F127" s="709"/>
      <c r="G127" s="709"/>
      <c r="H127" s="709"/>
      <c r="I127" s="709"/>
      <c r="J127" s="710"/>
    </row>
    <row r="128" spans="1:10" ht="13.5" customHeight="1">
      <c r="A128" s="77" t="s">
        <v>2412</v>
      </c>
      <c r="B128" s="708" t="s">
        <v>208</v>
      </c>
      <c r="C128" s="709"/>
      <c r="D128" s="709"/>
      <c r="E128" s="709"/>
      <c r="F128" s="709"/>
      <c r="G128" s="709"/>
      <c r="H128" s="709"/>
      <c r="I128" s="709"/>
      <c r="J128" s="710"/>
    </row>
    <row r="129" spans="1:10" ht="13.5" customHeight="1">
      <c r="A129" s="77" t="s">
        <v>209</v>
      </c>
      <c r="B129" s="708" t="s">
        <v>519</v>
      </c>
      <c r="C129" s="709"/>
      <c r="D129" s="709"/>
      <c r="E129" s="709"/>
      <c r="F129" s="709"/>
      <c r="G129" s="709"/>
      <c r="H129" s="709"/>
      <c r="I129" s="709"/>
      <c r="J129" s="710"/>
    </row>
    <row r="130" spans="1:10" ht="13.5" customHeight="1">
      <c r="A130" s="77" t="s">
        <v>520</v>
      </c>
      <c r="B130" s="708" t="s">
        <v>521</v>
      </c>
      <c r="C130" s="709"/>
      <c r="D130" s="709"/>
      <c r="E130" s="709"/>
      <c r="F130" s="709"/>
      <c r="G130" s="709"/>
      <c r="H130" s="709"/>
      <c r="I130" s="709"/>
      <c r="J130" s="710"/>
    </row>
    <row r="131" spans="1:10" ht="13.5" customHeight="1">
      <c r="A131" s="77" t="s">
        <v>522</v>
      </c>
      <c r="B131" s="708" t="s">
        <v>523</v>
      </c>
      <c r="C131" s="709"/>
      <c r="D131" s="709"/>
      <c r="E131" s="709"/>
      <c r="F131" s="709"/>
      <c r="G131" s="709"/>
      <c r="H131" s="709"/>
      <c r="I131" s="709"/>
      <c r="J131" s="710"/>
    </row>
    <row r="132" spans="1:10" ht="13.5" customHeight="1">
      <c r="A132" s="77" t="s">
        <v>524</v>
      </c>
      <c r="B132" s="708" t="s">
        <v>525</v>
      </c>
      <c r="C132" s="709"/>
      <c r="D132" s="709"/>
      <c r="E132" s="709"/>
      <c r="F132" s="709"/>
      <c r="G132" s="709"/>
      <c r="H132" s="709"/>
      <c r="I132" s="709"/>
      <c r="J132" s="710"/>
    </row>
    <row r="133" spans="1:10" ht="13.5" customHeight="1">
      <c r="A133" s="77" t="s">
        <v>526</v>
      </c>
      <c r="B133" s="708" t="s">
        <v>527</v>
      </c>
      <c r="C133" s="709"/>
      <c r="D133" s="709"/>
      <c r="E133" s="709"/>
      <c r="F133" s="709"/>
      <c r="G133" s="709"/>
      <c r="H133" s="709"/>
      <c r="I133" s="709"/>
      <c r="J133" s="710"/>
    </row>
    <row r="134" spans="1:10" ht="13.5" customHeight="1">
      <c r="A134" s="77" t="s">
        <v>528</v>
      </c>
      <c r="B134" s="708" t="s">
        <v>529</v>
      </c>
      <c r="C134" s="709"/>
      <c r="D134" s="709"/>
      <c r="E134" s="709"/>
      <c r="F134" s="709"/>
      <c r="G134" s="709"/>
      <c r="H134" s="709"/>
      <c r="I134" s="709"/>
      <c r="J134" s="710"/>
    </row>
    <row r="135" spans="1:10" ht="13.5" customHeight="1">
      <c r="A135" s="77" t="s">
        <v>530</v>
      </c>
      <c r="B135" s="708" t="s">
        <v>2429</v>
      </c>
      <c r="C135" s="709"/>
      <c r="D135" s="709"/>
      <c r="E135" s="709"/>
      <c r="F135" s="709"/>
      <c r="G135" s="709"/>
      <c r="H135" s="709"/>
      <c r="I135" s="709"/>
      <c r="J135" s="710"/>
    </row>
    <row r="136" spans="1:10" ht="13.5" customHeight="1">
      <c r="A136" s="77" t="s">
        <v>2430</v>
      </c>
      <c r="B136" s="708" t="s">
        <v>2431</v>
      </c>
      <c r="C136" s="709"/>
      <c r="D136" s="709"/>
      <c r="E136" s="709"/>
      <c r="F136" s="709"/>
      <c r="G136" s="709"/>
      <c r="H136" s="709"/>
      <c r="I136" s="709"/>
      <c r="J136" s="710"/>
    </row>
    <row r="137" spans="1:10" ht="13.5" customHeight="1">
      <c r="A137" s="77" t="s">
        <v>2432</v>
      </c>
      <c r="B137" s="708" t="s">
        <v>2433</v>
      </c>
      <c r="C137" s="709"/>
      <c r="D137" s="709"/>
      <c r="E137" s="709"/>
      <c r="F137" s="709"/>
      <c r="G137" s="709"/>
      <c r="H137" s="709"/>
      <c r="I137" s="709"/>
      <c r="J137" s="710"/>
    </row>
    <row r="138" spans="1:10" ht="13.5" customHeight="1">
      <c r="A138" s="77" t="s">
        <v>2434</v>
      </c>
      <c r="B138" s="708" t="s">
        <v>2435</v>
      </c>
      <c r="C138" s="709"/>
      <c r="D138" s="709"/>
      <c r="E138" s="709"/>
      <c r="F138" s="709"/>
      <c r="G138" s="709"/>
      <c r="H138" s="709"/>
      <c r="I138" s="709"/>
      <c r="J138" s="710"/>
    </row>
    <row r="139" spans="1:10" ht="13.5" customHeight="1">
      <c r="A139" s="77" t="s">
        <v>2436</v>
      </c>
      <c r="B139" s="708" t="s">
        <v>2437</v>
      </c>
      <c r="C139" s="709"/>
      <c r="D139" s="709"/>
      <c r="E139" s="709"/>
      <c r="F139" s="709"/>
      <c r="G139" s="709"/>
      <c r="H139" s="709"/>
      <c r="I139" s="709"/>
      <c r="J139" s="710"/>
    </row>
    <row r="140" spans="1:10" ht="13.5" customHeight="1">
      <c r="A140" s="77" t="s">
        <v>2438</v>
      </c>
      <c r="B140" s="708" t="s">
        <v>390</v>
      </c>
      <c r="C140" s="709"/>
      <c r="D140" s="709"/>
      <c r="E140" s="709"/>
      <c r="F140" s="709"/>
      <c r="G140" s="709"/>
      <c r="H140" s="709"/>
      <c r="I140" s="709"/>
      <c r="J140" s="710"/>
    </row>
    <row r="141" spans="1:10" ht="13.5" customHeight="1">
      <c r="A141" s="77" t="s">
        <v>391</v>
      </c>
      <c r="B141" s="708" t="s">
        <v>392</v>
      </c>
      <c r="C141" s="709"/>
      <c r="D141" s="709"/>
      <c r="E141" s="709"/>
      <c r="F141" s="709"/>
      <c r="G141" s="709"/>
      <c r="H141" s="709"/>
      <c r="I141" s="709"/>
      <c r="J141" s="710"/>
    </row>
    <row r="142" spans="1:10" ht="13.5" customHeight="1">
      <c r="A142" s="77" t="s">
        <v>393</v>
      </c>
      <c r="B142" s="708" t="s">
        <v>394</v>
      </c>
      <c r="C142" s="709"/>
      <c r="D142" s="709"/>
      <c r="E142" s="709"/>
      <c r="F142" s="709"/>
      <c r="G142" s="709"/>
      <c r="H142" s="709"/>
      <c r="I142" s="709"/>
      <c r="J142" s="710"/>
    </row>
    <row r="143" spans="1:10" ht="13.5" customHeight="1">
      <c r="A143" s="77" t="s">
        <v>395</v>
      </c>
      <c r="B143" s="708" t="s">
        <v>1141</v>
      </c>
      <c r="C143" s="709"/>
      <c r="D143" s="709"/>
      <c r="E143" s="709"/>
      <c r="F143" s="709"/>
      <c r="G143" s="709"/>
      <c r="H143" s="709"/>
      <c r="I143" s="709"/>
      <c r="J143" s="710"/>
    </row>
    <row r="144" spans="1:10" ht="13.5" customHeight="1">
      <c r="A144" s="77" t="s">
        <v>1142</v>
      </c>
      <c r="B144" s="708" t="s">
        <v>1143</v>
      </c>
      <c r="C144" s="709"/>
      <c r="D144" s="709"/>
      <c r="E144" s="709"/>
      <c r="F144" s="709"/>
      <c r="G144" s="709"/>
      <c r="H144" s="709"/>
      <c r="I144" s="709"/>
      <c r="J144" s="710"/>
    </row>
    <row r="145" spans="1:10" ht="13.5" customHeight="1">
      <c r="A145" s="77" t="s">
        <v>1144</v>
      </c>
      <c r="B145" s="708" t="s">
        <v>1145</v>
      </c>
      <c r="C145" s="709"/>
      <c r="D145" s="709"/>
      <c r="E145" s="709"/>
      <c r="F145" s="709"/>
      <c r="G145" s="709"/>
      <c r="H145" s="709"/>
      <c r="I145" s="709"/>
      <c r="J145" s="710"/>
    </row>
    <row r="146" spans="1:10" ht="13.5" customHeight="1">
      <c r="A146" s="77" t="s">
        <v>1146</v>
      </c>
      <c r="B146" s="708" t="s">
        <v>1147</v>
      </c>
      <c r="C146" s="709"/>
      <c r="D146" s="709"/>
      <c r="E146" s="709"/>
      <c r="F146" s="709"/>
      <c r="G146" s="709"/>
      <c r="H146" s="709"/>
      <c r="I146" s="709"/>
      <c r="J146" s="710"/>
    </row>
    <row r="147" spans="1:10" ht="13.5" customHeight="1">
      <c r="A147" s="77" t="s">
        <v>1148</v>
      </c>
      <c r="B147" s="708" t="s">
        <v>1149</v>
      </c>
      <c r="C147" s="709"/>
      <c r="D147" s="709"/>
      <c r="E147" s="709"/>
      <c r="F147" s="709"/>
      <c r="G147" s="709"/>
      <c r="H147" s="709"/>
      <c r="I147" s="709"/>
      <c r="J147" s="710"/>
    </row>
    <row r="148" spans="1:10" ht="13.5" customHeight="1">
      <c r="A148" s="77" t="s">
        <v>1150</v>
      </c>
      <c r="B148" s="708" t="s">
        <v>1151</v>
      </c>
      <c r="C148" s="709"/>
      <c r="D148" s="709"/>
      <c r="E148" s="709"/>
      <c r="F148" s="709"/>
      <c r="G148" s="709"/>
      <c r="H148" s="709"/>
      <c r="I148" s="709"/>
      <c r="J148" s="710"/>
    </row>
    <row r="149" spans="1:10" ht="13.5" customHeight="1">
      <c r="A149" s="77" t="s">
        <v>1152</v>
      </c>
      <c r="B149" s="708" t="s">
        <v>1266</v>
      </c>
      <c r="C149" s="709"/>
      <c r="D149" s="709"/>
      <c r="E149" s="709"/>
      <c r="F149" s="709"/>
      <c r="G149" s="709"/>
      <c r="H149" s="709"/>
      <c r="I149" s="709"/>
      <c r="J149" s="710"/>
    </row>
    <row r="150" spans="1:10" ht="13.5" customHeight="1">
      <c r="A150" s="77" t="s">
        <v>1267</v>
      </c>
      <c r="B150" s="708" t="s">
        <v>1268</v>
      </c>
      <c r="C150" s="709"/>
      <c r="D150" s="709"/>
      <c r="E150" s="709"/>
      <c r="F150" s="709"/>
      <c r="G150" s="709"/>
      <c r="H150" s="709"/>
      <c r="I150" s="709"/>
      <c r="J150" s="710"/>
    </row>
    <row r="151" spans="1:10" ht="13.5" customHeight="1">
      <c r="A151" s="77" t="s">
        <v>1269</v>
      </c>
      <c r="B151" s="708" t="s">
        <v>1270</v>
      </c>
      <c r="C151" s="709"/>
      <c r="D151" s="709"/>
      <c r="E151" s="709"/>
      <c r="F151" s="709"/>
      <c r="G151" s="709"/>
      <c r="H151" s="709"/>
      <c r="I151" s="709"/>
      <c r="J151" s="710"/>
    </row>
    <row r="152" spans="1:10" ht="13.5" customHeight="1">
      <c r="A152" s="77" t="s">
        <v>1271</v>
      </c>
      <c r="B152" s="708" t="s">
        <v>1272</v>
      </c>
      <c r="C152" s="709"/>
      <c r="D152" s="709"/>
      <c r="E152" s="709"/>
      <c r="F152" s="709"/>
      <c r="G152" s="709"/>
      <c r="H152" s="709"/>
      <c r="I152" s="709"/>
      <c r="J152" s="710"/>
    </row>
    <row r="153" spans="1:10" ht="13.5" customHeight="1">
      <c r="A153" s="77" t="s">
        <v>1273</v>
      </c>
      <c r="B153" s="708" t="s">
        <v>1274</v>
      </c>
      <c r="C153" s="709"/>
      <c r="D153" s="709"/>
      <c r="E153" s="709"/>
      <c r="F153" s="709"/>
      <c r="G153" s="709"/>
      <c r="H153" s="709"/>
      <c r="I153" s="709"/>
      <c r="J153" s="710"/>
    </row>
    <row r="154" spans="1:10" ht="13.5" customHeight="1">
      <c r="A154" s="77" t="s">
        <v>1275</v>
      </c>
      <c r="B154" s="708" t="s">
        <v>1276</v>
      </c>
      <c r="C154" s="709"/>
      <c r="D154" s="709"/>
      <c r="E154" s="709"/>
      <c r="F154" s="709"/>
      <c r="G154" s="709"/>
      <c r="H154" s="709"/>
      <c r="I154" s="709"/>
      <c r="J154" s="710"/>
    </row>
    <row r="155" spans="1:10" ht="13.5" customHeight="1">
      <c r="A155" s="77" t="s">
        <v>1277</v>
      </c>
      <c r="B155" s="708" t="s">
        <v>2138</v>
      </c>
      <c r="C155" s="709"/>
      <c r="D155" s="709"/>
      <c r="E155" s="709"/>
      <c r="F155" s="709"/>
      <c r="G155" s="709"/>
      <c r="H155" s="709"/>
      <c r="I155" s="709"/>
      <c r="J155" s="710"/>
    </row>
    <row r="156" spans="1:10" ht="13.5" customHeight="1">
      <c r="A156" s="77" t="s">
        <v>2139</v>
      </c>
      <c r="B156" s="708" t="s">
        <v>2140</v>
      </c>
      <c r="C156" s="709"/>
      <c r="D156" s="709"/>
      <c r="E156" s="709"/>
      <c r="F156" s="709"/>
      <c r="G156" s="709"/>
      <c r="H156" s="709"/>
      <c r="I156" s="709"/>
      <c r="J156" s="710"/>
    </row>
    <row r="157" spans="1:10" ht="13.5" customHeight="1">
      <c r="A157" s="77" t="s">
        <v>2141</v>
      </c>
      <c r="B157" s="708" t="s">
        <v>2142</v>
      </c>
      <c r="C157" s="709"/>
      <c r="D157" s="709"/>
      <c r="E157" s="709"/>
      <c r="F157" s="709"/>
      <c r="G157" s="709"/>
      <c r="H157" s="709"/>
      <c r="I157" s="709"/>
      <c r="J157" s="710"/>
    </row>
    <row r="158" spans="1:10" ht="13.5" customHeight="1">
      <c r="A158" s="77" t="s">
        <v>2143</v>
      </c>
      <c r="B158" s="708" t="s">
        <v>2144</v>
      </c>
      <c r="C158" s="709"/>
      <c r="D158" s="709"/>
      <c r="E158" s="709"/>
      <c r="F158" s="709"/>
      <c r="G158" s="709"/>
      <c r="H158" s="709"/>
      <c r="I158" s="709"/>
      <c r="J158" s="710"/>
    </row>
    <row r="159" spans="1:10" ht="13.5" customHeight="1">
      <c r="A159" s="77" t="s">
        <v>2145</v>
      </c>
      <c r="B159" s="708" t="s">
        <v>2146</v>
      </c>
      <c r="C159" s="709"/>
      <c r="D159" s="709"/>
      <c r="E159" s="709"/>
      <c r="F159" s="709"/>
      <c r="G159" s="709"/>
      <c r="H159" s="709"/>
      <c r="I159" s="709"/>
      <c r="J159" s="710"/>
    </row>
    <row r="160" spans="1:10" ht="13.5" customHeight="1">
      <c r="A160" s="77" t="s">
        <v>2147</v>
      </c>
      <c r="B160" s="708" t="s">
        <v>2148</v>
      </c>
      <c r="C160" s="709"/>
      <c r="D160" s="709"/>
      <c r="E160" s="709"/>
      <c r="F160" s="709"/>
      <c r="G160" s="709"/>
      <c r="H160" s="709"/>
      <c r="I160" s="709"/>
      <c r="J160" s="710"/>
    </row>
    <row r="161" spans="1:10" ht="13.5" customHeight="1">
      <c r="A161" s="77" t="s">
        <v>2149</v>
      </c>
      <c r="B161" s="708" t="s">
        <v>2150</v>
      </c>
      <c r="C161" s="709"/>
      <c r="D161" s="709"/>
      <c r="E161" s="709"/>
      <c r="F161" s="709"/>
      <c r="G161" s="709"/>
      <c r="H161" s="709"/>
      <c r="I161" s="709"/>
      <c r="J161" s="710"/>
    </row>
    <row r="162" spans="1:10" ht="13.5" customHeight="1">
      <c r="A162" s="77" t="s">
        <v>2151</v>
      </c>
      <c r="B162" s="708" t="s">
        <v>2152</v>
      </c>
      <c r="C162" s="709"/>
      <c r="D162" s="709"/>
      <c r="E162" s="709"/>
      <c r="F162" s="709"/>
      <c r="G162" s="709"/>
      <c r="H162" s="709"/>
      <c r="I162" s="709"/>
      <c r="J162" s="710"/>
    </row>
    <row r="163" spans="1:10" ht="13.5" customHeight="1">
      <c r="A163" s="77" t="s">
        <v>2153</v>
      </c>
      <c r="B163" s="708" t="s">
        <v>1662</v>
      </c>
      <c r="C163" s="709"/>
      <c r="D163" s="709"/>
      <c r="E163" s="709"/>
      <c r="F163" s="709"/>
      <c r="G163" s="709"/>
      <c r="H163" s="709"/>
      <c r="I163" s="709"/>
      <c r="J163" s="710"/>
    </row>
    <row r="164" spans="1:10" ht="13.5" customHeight="1">
      <c r="A164" s="77" t="s">
        <v>1663</v>
      </c>
      <c r="B164" s="708" t="s">
        <v>1664</v>
      </c>
      <c r="C164" s="709"/>
      <c r="D164" s="709"/>
      <c r="E164" s="709"/>
      <c r="F164" s="709"/>
      <c r="G164" s="709"/>
      <c r="H164" s="709"/>
      <c r="I164" s="709"/>
      <c r="J164" s="710"/>
    </row>
    <row r="165" spans="1:10" ht="13.5" customHeight="1">
      <c r="A165" s="77" t="s">
        <v>1665</v>
      </c>
      <c r="B165" s="708" t="s">
        <v>2603</v>
      </c>
      <c r="C165" s="709"/>
      <c r="D165" s="709"/>
      <c r="E165" s="709"/>
      <c r="F165" s="709"/>
      <c r="G165" s="709"/>
      <c r="H165" s="709"/>
      <c r="I165" s="709"/>
      <c r="J165" s="710"/>
    </row>
    <row r="166" spans="1:10" ht="13.5" customHeight="1">
      <c r="A166" s="77" t="s">
        <v>2604</v>
      </c>
      <c r="B166" s="708" t="s">
        <v>2605</v>
      </c>
      <c r="C166" s="709"/>
      <c r="D166" s="709"/>
      <c r="E166" s="709"/>
      <c r="F166" s="709"/>
      <c r="G166" s="709"/>
      <c r="H166" s="709"/>
      <c r="I166" s="709"/>
      <c r="J166" s="710"/>
    </row>
    <row r="167" spans="1:10" ht="13.5" customHeight="1">
      <c r="A167" s="77" t="s">
        <v>2606</v>
      </c>
      <c r="B167" s="708" t="s">
        <v>2607</v>
      </c>
      <c r="C167" s="709"/>
      <c r="D167" s="709"/>
      <c r="E167" s="709"/>
      <c r="F167" s="709"/>
      <c r="G167" s="709"/>
      <c r="H167" s="709"/>
      <c r="I167" s="709"/>
      <c r="J167" s="710"/>
    </row>
    <row r="168" spans="1:10" ht="13.5" customHeight="1">
      <c r="A168" s="77" t="s">
        <v>2608</v>
      </c>
      <c r="B168" s="708" t="s">
        <v>2609</v>
      </c>
      <c r="C168" s="709"/>
      <c r="D168" s="709"/>
      <c r="E168" s="709"/>
      <c r="F168" s="709"/>
      <c r="G168" s="709"/>
      <c r="H168" s="709"/>
      <c r="I168" s="709"/>
      <c r="J168" s="710"/>
    </row>
    <row r="169" spans="1:10" ht="13.5" customHeight="1">
      <c r="A169" s="77" t="s">
        <v>1205</v>
      </c>
      <c r="B169" s="708" t="s">
        <v>1206</v>
      </c>
      <c r="C169" s="709"/>
      <c r="D169" s="709"/>
      <c r="E169" s="709"/>
      <c r="F169" s="709"/>
      <c r="G169" s="709"/>
      <c r="H169" s="709"/>
      <c r="I169" s="709"/>
      <c r="J169" s="710"/>
    </row>
    <row r="170" spans="1:10" ht="13.5" customHeight="1">
      <c r="A170" s="77" t="s">
        <v>1207</v>
      </c>
      <c r="B170" s="708" t="s">
        <v>1208</v>
      </c>
      <c r="C170" s="709"/>
      <c r="D170" s="709"/>
      <c r="E170" s="709"/>
      <c r="F170" s="709"/>
      <c r="G170" s="709"/>
      <c r="H170" s="709"/>
      <c r="I170" s="709"/>
      <c r="J170" s="710"/>
    </row>
    <row r="171" spans="1:10" ht="13.5" customHeight="1">
      <c r="A171" s="77" t="s">
        <v>1209</v>
      </c>
      <c r="B171" s="708" t="s">
        <v>1210</v>
      </c>
      <c r="C171" s="709"/>
      <c r="D171" s="709"/>
      <c r="E171" s="709"/>
      <c r="F171" s="709"/>
      <c r="G171" s="709"/>
      <c r="H171" s="709"/>
      <c r="I171" s="709"/>
      <c r="J171" s="710"/>
    </row>
    <row r="172" spans="1:10" ht="13.5" customHeight="1">
      <c r="A172" s="77" t="s">
        <v>1211</v>
      </c>
      <c r="B172" s="708" t="s">
        <v>1212</v>
      </c>
      <c r="C172" s="709"/>
      <c r="D172" s="709"/>
      <c r="E172" s="709"/>
      <c r="F172" s="709"/>
      <c r="G172" s="709"/>
      <c r="H172" s="709"/>
      <c r="I172" s="709"/>
      <c r="J172" s="710"/>
    </row>
    <row r="173" spans="1:10" ht="13.5" customHeight="1">
      <c r="A173" s="77" t="s">
        <v>1213</v>
      </c>
      <c r="B173" s="708" t="s">
        <v>1455</v>
      </c>
      <c r="C173" s="709"/>
      <c r="D173" s="709"/>
      <c r="E173" s="709"/>
      <c r="F173" s="709"/>
      <c r="G173" s="709"/>
      <c r="H173" s="709"/>
      <c r="I173" s="709"/>
      <c r="J173" s="710"/>
    </row>
    <row r="174" spans="1:10" ht="13.5" customHeight="1">
      <c r="A174" s="77" t="s">
        <v>1456</v>
      </c>
      <c r="B174" s="708" t="s">
        <v>1457</v>
      </c>
      <c r="C174" s="709"/>
      <c r="D174" s="709"/>
      <c r="E174" s="709"/>
      <c r="F174" s="709"/>
      <c r="G174" s="709"/>
      <c r="H174" s="709"/>
      <c r="I174" s="709"/>
      <c r="J174" s="710"/>
    </row>
    <row r="175" spans="1:10" ht="13.5" customHeight="1">
      <c r="A175" s="77" t="s">
        <v>1458</v>
      </c>
      <c r="B175" s="708" t="s">
        <v>1459</v>
      </c>
      <c r="C175" s="709"/>
      <c r="D175" s="709"/>
      <c r="E175" s="709"/>
      <c r="F175" s="709"/>
      <c r="G175" s="709"/>
      <c r="H175" s="709"/>
      <c r="I175" s="709"/>
      <c r="J175" s="710"/>
    </row>
    <row r="176" spans="1:10" ht="13.5" customHeight="1">
      <c r="A176" s="77" t="s">
        <v>1460</v>
      </c>
      <c r="B176" s="708" t="s">
        <v>1461</v>
      </c>
      <c r="C176" s="709"/>
      <c r="D176" s="709"/>
      <c r="E176" s="709"/>
      <c r="F176" s="709"/>
      <c r="G176" s="709"/>
      <c r="H176" s="709"/>
      <c r="I176" s="709"/>
      <c r="J176" s="710"/>
    </row>
    <row r="177" spans="1:10" ht="13.5" customHeight="1">
      <c r="A177" s="77" t="s">
        <v>1462</v>
      </c>
      <c r="B177" s="708" t="s">
        <v>1463</v>
      </c>
      <c r="C177" s="709"/>
      <c r="D177" s="709"/>
      <c r="E177" s="709"/>
      <c r="F177" s="709"/>
      <c r="G177" s="709"/>
      <c r="H177" s="709"/>
      <c r="I177" s="709"/>
      <c r="J177" s="710"/>
    </row>
    <row r="178" spans="1:10" ht="13.5" customHeight="1">
      <c r="A178" s="77" t="s">
        <v>1464</v>
      </c>
      <c r="B178" s="708" t="s">
        <v>1465</v>
      </c>
      <c r="C178" s="709"/>
      <c r="D178" s="709"/>
      <c r="E178" s="709"/>
      <c r="F178" s="709"/>
      <c r="G178" s="709"/>
      <c r="H178" s="709"/>
      <c r="I178" s="709"/>
      <c r="J178" s="710"/>
    </row>
    <row r="179" spans="1:10" ht="13.5" customHeight="1">
      <c r="A179" s="77" t="s">
        <v>1466</v>
      </c>
      <c r="B179" s="708" t="s">
        <v>1467</v>
      </c>
      <c r="C179" s="709"/>
      <c r="D179" s="709"/>
      <c r="E179" s="709"/>
      <c r="F179" s="709"/>
      <c r="G179" s="709"/>
      <c r="H179" s="709"/>
      <c r="I179" s="709"/>
      <c r="J179" s="710"/>
    </row>
    <row r="180" spans="1:10" ht="13.5" customHeight="1">
      <c r="A180" s="77" t="s">
        <v>1468</v>
      </c>
      <c r="B180" s="708" t="s">
        <v>1469</v>
      </c>
      <c r="C180" s="709"/>
      <c r="D180" s="709"/>
      <c r="E180" s="709"/>
      <c r="F180" s="709"/>
      <c r="G180" s="709"/>
      <c r="H180" s="709"/>
      <c r="I180" s="709"/>
      <c r="J180" s="710"/>
    </row>
    <row r="181" spans="1:10" ht="13.5" customHeight="1">
      <c r="A181" s="77" t="s">
        <v>1470</v>
      </c>
      <c r="B181" s="708" t="s">
        <v>1471</v>
      </c>
      <c r="C181" s="709"/>
      <c r="D181" s="709"/>
      <c r="E181" s="709"/>
      <c r="F181" s="709"/>
      <c r="G181" s="709"/>
      <c r="H181" s="709"/>
      <c r="I181" s="709"/>
      <c r="J181" s="710"/>
    </row>
    <row r="182" spans="1:10" ht="13.5" customHeight="1">
      <c r="A182" s="77" t="s">
        <v>1472</v>
      </c>
      <c r="B182" s="708" t="s">
        <v>1473</v>
      </c>
      <c r="C182" s="709"/>
      <c r="D182" s="709"/>
      <c r="E182" s="709"/>
      <c r="F182" s="709"/>
      <c r="G182" s="709"/>
      <c r="H182" s="709"/>
      <c r="I182" s="709"/>
      <c r="J182" s="710"/>
    </row>
    <row r="183" spans="1:10" ht="13.5" customHeight="1">
      <c r="A183" s="77" t="s">
        <v>1474</v>
      </c>
      <c r="B183" s="708" t="s">
        <v>1475</v>
      </c>
      <c r="C183" s="709"/>
      <c r="D183" s="709"/>
      <c r="E183" s="709"/>
      <c r="F183" s="709"/>
      <c r="G183" s="709"/>
      <c r="H183" s="709"/>
      <c r="I183" s="709"/>
      <c r="J183" s="710"/>
    </row>
    <row r="184" spans="1:10" ht="13.5" customHeight="1">
      <c r="A184" s="77" t="s">
        <v>1476</v>
      </c>
      <c r="B184" s="708" t="s">
        <v>1477</v>
      </c>
      <c r="C184" s="709"/>
      <c r="D184" s="709"/>
      <c r="E184" s="709"/>
      <c r="F184" s="709"/>
      <c r="G184" s="709"/>
      <c r="H184" s="709"/>
      <c r="I184" s="709"/>
      <c r="J184" s="710"/>
    </row>
    <row r="185" spans="1:10" ht="13.5" customHeight="1">
      <c r="A185" s="77" t="s">
        <v>1478</v>
      </c>
      <c r="B185" s="708" t="s">
        <v>1479</v>
      </c>
      <c r="C185" s="709"/>
      <c r="D185" s="709"/>
      <c r="E185" s="709"/>
      <c r="F185" s="709"/>
      <c r="G185" s="709"/>
      <c r="H185" s="709"/>
      <c r="I185" s="709"/>
      <c r="J185" s="710"/>
    </row>
    <row r="186" spans="1:10" ht="13.5" customHeight="1">
      <c r="A186" s="77" t="s">
        <v>1480</v>
      </c>
      <c r="B186" s="708" t="s">
        <v>1265</v>
      </c>
      <c r="C186" s="709"/>
      <c r="D186" s="709"/>
      <c r="E186" s="709"/>
      <c r="F186" s="709"/>
      <c r="G186" s="709"/>
      <c r="H186" s="709"/>
      <c r="I186" s="709"/>
      <c r="J186" s="710"/>
    </row>
    <row r="187" spans="1:10" ht="13.5" customHeight="1">
      <c r="A187" s="77" t="s">
        <v>718</v>
      </c>
      <c r="B187" s="708" t="s">
        <v>719</v>
      </c>
      <c r="C187" s="709"/>
      <c r="D187" s="709"/>
      <c r="E187" s="709"/>
      <c r="F187" s="709"/>
      <c r="G187" s="709"/>
      <c r="H187" s="709"/>
      <c r="I187" s="709"/>
      <c r="J187" s="710"/>
    </row>
    <row r="188" spans="1:10" ht="13.5" customHeight="1">
      <c r="A188" s="77" t="s">
        <v>720</v>
      </c>
      <c r="B188" s="708" t="s">
        <v>721</v>
      </c>
      <c r="C188" s="709"/>
      <c r="D188" s="709"/>
      <c r="E188" s="709"/>
      <c r="F188" s="709"/>
      <c r="G188" s="709"/>
      <c r="H188" s="709"/>
      <c r="I188" s="709"/>
      <c r="J188" s="710"/>
    </row>
    <row r="189" spans="1:10" ht="13.5" customHeight="1">
      <c r="A189" s="77" t="s">
        <v>722</v>
      </c>
      <c r="B189" s="708" t="s">
        <v>723</v>
      </c>
      <c r="C189" s="709"/>
      <c r="D189" s="709"/>
      <c r="E189" s="709"/>
      <c r="F189" s="709"/>
      <c r="G189" s="709"/>
      <c r="H189" s="709"/>
      <c r="I189" s="709"/>
      <c r="J189" s="710"/>
    </row>
    <row r="190" spans="1:10" ht="13.5" customHeight="1">
      <c r="A190" s="77" t="s">
        <v>724</v>
      </c>
      <c r="B190" s="708" t="s">
        <v>725</v>
      </c>
      <c r="C190" s="709"/>
      <c r="D190" s="709"/>
      <c r="E190" s="709"/>
      <c r="F190" s="709"/>
      <c r="G190" s="709"/>
      <c r="H190" s="709"/>
      <c r="I190" s="709"/>
      <c r="J190" s="710"/>
    </row>
    <row r="191" spans="1:10" ht="13.5" customHeight="1">
      <c r="A191" s="77" t="s">
        <v>726</v>
      </c>
      <c r="B191" s="708" t="s">
        <v>244</v>
      </c>
      <c r="C191" s="709"/>
      <c r="D191" s="709"/>
      <c r="E191" s="709"/>
      <c r="F191" s="709"/>
      <c r="G191" s="709"/>
      <c r="H191" s="709"/>
      <c r="I191" s="709"/>
      <c r="J191" s="710"/>
    </row>
    <row r="192" spans="1:10" ht="13.5" customHeight="1">
      <c r="A192" s="77" t="s">
        <v>245</v>
      </c>
      <c r="B192" s="708" t="s">
        <v>246</v>
      </c>
      <c r="C192" s="709"/>
      <c r="D192" s="709"/>
      <c r="E192" s="709"/>
      <c r="F192" s="709"/>
      <c r="G192" s="709"/>
      <c r="H192" s="709"/>
      <c r="I192" s="709"/>
      <c r="J192" s="710"/>
    </row>
    <row r="193" spans="1:10" ht="13.5" customHeight="1">
      <c r="A193" s="77" t="s">
        <v>247</v>
      </c>
      <c r="B193" s="708" t="s">
        <v>248</v>
      </c>
      <c r="C193" s="709"/>
      <c r="D193" s="709"/>
      <c r="E193" s="709"/>
      <c r="F193" s="709"/>
      <c r="G193" s="709"/>
      <c r="H193" s="709"/>
      <c r="I193" s="709"/>
      <c r="J193" s="710"/>
    </row>
    <row r="194" spans="1:10" ht="13.5" customHeight="1">
      <c r="A194" s="77" t="s">
        <v>249</v>
      </c>
      <c r="B194" s="708" t="s">
        <v>1666</v>
      </c>
      <c r="C194" s="709"/>
      <c r="D194" s="709"/>
      <c r="E194" s="709"/>
      <c r="F194" s="709"/>
      <c r="G194" s="709"/>
      <c r="H194" s="709"/>
      <c r="I194" s="709"/>
      <c r="J194" s="710"/>
    </row>
    <row r="195" spans="1:10" ht="13.5" customHeight="1">
      <c r="A195" s="77" t="s">
        <v>1667</v>
      </c>
      <c r="B195" s="708" t="s">
        <v>1668</v>
      </c>
      <c r="C195" s="709"/>
      <c r="D195" s="709"/>
      <c r="E195" s="709"/>
      <c r="F195" s="709"/>
      <c r="G195" s="709"/>
      <c r="H195" s="709"/>
      <c r="I195" s="709"/>
      <c r="J195" s="710"/>
    </row>
    <row r="196" spans="1:10" ht="13.5" customHeight="1">
      <c r="A196" s="77" t="s">
        <v>1669</v>
      </c>
      <c r="B196" s="708" t="s">
        <v>1670</v>
      </c>
      <c r="C196" s="709"/>
      <c r="D196" s="709"/>
      <c r="E196" s="709"/>
      <c r="F196" s="709"/>
      <c r="G196" s="709"/>
      <c r="H196" s="709"/>
      <c r="I196" s="709"/>
      <c r="J196" s="710"/>
    </row>
    <row r="197" spans="1:10" ht="13.5" customHeight="1">
      <c r="A197" s="77" t="s">
        <v>1671</v>
      </c>
      <c r="B197" s="708" t="s">
        <v>1672</v>
      </c>
      <c r="C197" s="709"/>
      <c r="D197" s="709"/>
      <c r="E197" s="709"/>
      <c r="F197" s="709"/>
      <c r="G197" s="709"/>
      <c r="H197" s="709"/>
      <c r="I197" s="709"/>
      <c r="J197" s="710"/>
    </row>
    <row r="198" spans="1:10" ht="13.5" customHeight="1">
      <c r="A198" s="77" t="s">
        <v>1673</v>
      </c>
      <c r="B198" s="708" t="s">
        <v>1674</v>
      </c>
      <c r="C198" s="709"/>
      <c r="D198" s="709"/>
      <c r="E198" s="709"/>
      <c r="F198" s="709"/>
      <c r="G198" s="709"/>
      <c r="H198" s="709"/>
      <c r="I198" s="709"/>
      <c r="J198" s="710"/>
    </row>
    <row r="199" spans="1:10" ht="13.5" customHeight="1">
      <c r="A199" s="77" t="s">
        <v>1675</v>
      </c>
      <c r="B199" s="708" t="s">
        <v>1676</v>
      </c>
      <c r="C199" s="709"/>
      <c r="D199" s="709"/>
      <c r="E199" s="709"/>
      <c r="F199" s="709"/>
      <c r="G199" s="709"/>
      <c r="H199" s="709"/>
      <c r="I199" s="709"/>
      <c r="J199" s="710"/>
    </row>
    <row r="200" spans="1:10" ht="13.5" customHeight="1">
      <c r="A200" s="77" t="s">
        <v>1677</v>
      </c>
      <c r="B200" s="708" t="s">
        <v>1678</v>
      </c>
      <c r="C200" s="709"/>
      <c r="D200" s="709"/>
      <c r="E200" s="709"/>
      <c r="F200" s="709"/>
      <c r="G200" s="709"/>
      <c r="H200" s="709"/>
      <c r="I200" s="709"/>
      <c r="J200" s="710"/>
    </row>
    <row r="201" spans="1:10" ht="13.5" customHeight="1">
      <c r="A201" s="77" t="s">
        <v>1679</v>
      </c>
      <c r="B201" s="708" t="s">
        <v>1941</v>
      </c>
      <c r="C201" s="709"/>
      <c r="D201" s="709"/>
      <c r="E201" s="709"/>
      <c r="F201" s="709"/>
      <c r="G201" s="709"/>
      <c r="H201" s="709"/>
      <c r="I201" s="709"/>
      <c r="J201" s="710"/>
    </row>
    <row r="202" spans="1:10" ht="13.5" customHeight="1">
      <c r="A202" s="77" t="s">
        <v>1942</v>
      </c>
      <c r="B202" s="708" t="s">
        <v>1943</v>
      </c>
      <c r="C202" s="709"/>
      <c r="D202" s="709"/>
      <c r="E202" s="709"/>
      <c r="F202" s="709"/>
      <c r="G202" s="709"/>
      <c r="H202" s="709"/>
      <c r="I202" s="709"/>
      <c r="J202" s="710"/>
    </row>
    <row r="203" spans="1:10" ht="13.5" customHeight="1">
      <c r="A203" s="77" t="s">
        <v>1944</v>
      </c>
      <c r="B203" s="708" t="s">
        <v>1945</v>
      </c>
      <c r="C203" s="709"/>
      <c r="D203" s="709"/>
      <c r="E203" s="709"/>
      <c r="F203" s="709"/>
      <c r="G203" s="709"/>
      <c r="H203" s="709"/>
      <c r="I203" s="709"/>
      <c r="J203" s="710"/>
    </row>
    <row r="204" spans="1:10" ht="13.5" customHeight="1">
      <c r="A204" s="77" t="s">
        <v>1946</v>
      </c>
      <c r="B204" s="708" t="s">
        <v>1947</v>
      </c>
      <c r="C204" s="709"/>
      <c r="D204" s="709"/>
      <c r="E204" s="709"/>
      <c r="F204" s="709"/>
      <c r="G204" s="709"/>
      <c r="H204" s="709"/>
      <c r="I204" s="709"/>
      <c r="J204" s="710"/>
    </row>
    <row r="205" spans="1:10" ht="13.5" customHeight="1">
      <c r="A205" s="77" t="s">
        <v>1948</v>
      </c>
      <c r="B205" s="708" t="s">
        <v>1949</v>
      </c>
      <c r="C205" s="709"/>
      <c r="D205" s="709"/>
      <c r="E205" s="709"/>
      <c r="F205" s="709"/>
      <c r="G205" s="709"/>
      <c r="H205" s="709"/>
      <c r="I205" s="709"/>
      <c r="J205" s="710"/>
    </row>
    <row r="206" spans="1:10" ht="13.5" customHeight="1">
      <c r="A206" s="77" t="s">
        <v>1950</v>
      </c>
      <c r="B206" s="708" t="s">
        <v>1951</v>
      </c>
      <c r="C206" s="709"/>
      <c r="D206" s="709"/>
      <c r="E206" s="709"/>
      <c r="F206" s="709"/>
      <c r="G206" s="709"/>
      <c r="H206" s="709"/>
      <c r="I206" s="709"/>
      <c r="J206" s="710"/>
    </row>
    <row r="207" spans="1:10" ht="13.5" customHeight="1">
      <c r="A207" s="77" t="s">
        <v>1952</v>
      </c>
      <c r="B207" s="708" t="s">
        <v>1953</v>
      </c>
      <c r="C207" s="709"/>
      <c r="D207" s="709"/>
      <c r="E207" s="709"/>
      <c r="F207" s="709"/>
      <c r="G207" s="709"/>
      <c r="H207" s="709"/>
      <c r="I207" s="709"/>
      <c r="J207" s="710"/>
    </row>
    <row r="208" spans="1:10" ht="13.5" customHeight="1">
      <c r="A208" s="77" t="s">
        <v>1954</v>
      </c>
      <c r="B208" s="708" t="s">
        <v>1955</v>
      </c>
      <c r="C208" s="709"/>
      <c r="D208" s="709"/>
      <c r="E208" s="709"/>
      <c r="F208" s="709"/>
      <c r="G208" s="709"/>
      <c r="H208" s="709"/>
      <c r="I208" s="709"/>
      <c r="J208" s="710"/>
    </row>
    <row r="209" spans="1:10" ht="13.5" customHeight="1">
      <c r="A209" s="77" t="s">
        <v>1956</v>
      </c>
      <c r="B209" s="708" t="s">
        <v>1680</v>
      </c>
      <c r="C209" s="709"/>
      <c r="D209" s="709"/>
      <c r="E209" s="709"/>
      <c r="F209" s="709"/>
      <c r="G209" s="709"/>
      <c r="H209" s="709"/>
      <c r="I209" s="709"/>
      <c r="J209" s="710"/>
    </row>
    <row r="210" spans="1:10" ht="13.5" customHeight="1">
      <c r="A210" s="77" t="s">
        <v>1681</v>
      </c>
      <c r="B210" s="708" t="s">
        <v>1682</v>
      </c>
      <c r="C210" s="709"/>
      <c r="D210" s="709"/>
      <c r="E210" s="709"/>
      <c r="F210" s="709"/>
      <c r="G210" s="709"/>
      <c r="H210" s="709"/>
      <c r="I210" s="709"/>
      <c r="J210" s="710"/>
    </row>
    <row r="211" spans="1:10" ht="13.5" customHeight="1">
      <c r="A211" s="77" t="s">
        <v>1683</v>
      </c>
      <c r="B211" s="708" t="s">
        <v>1684</v>
      </c>
      <c r="C211" s="709"/>
      <c r="D211" s="709"/>
      <c r="E211" s="709"/>
      <c r="F211" s="709"/>
      <c r="G211" s="709"/>
      <c r="H211" s="709"/>
      <c r="I211" s="709"/>
      <c r="J211" s="710"/>
    </row>
    <row r="212" spans="1:10" ht="13.5" customHeight="1">
      <c r="A212" s="77" t="s">
        <v>1685</v>
      </c>
      <c r="B212" s="708" t="s">
        <v>1686</v>
      </c>
      <c r="C212" s="709"/>
      <c r="D212" s="709"/>
      <c r="E212" s="709"/>
      <c r="F212" s="709"/>
      <c r="G212" s="709"/>
      <c r="H212" s="709"/>
      <c r="I212" s="709"/>
      <c r="J212" s="710"/>
    </row>
    <row r="213" spans="1:10" ht="13.5" customHeight="1">
      <c r="A213" s="77" t="s">
        <v>1687</v>
      </c>
      <c r="B213" s="708" t="s">
        <v>1688</v>
      </c>
      <c r="C213" s="709"/>
      <c r="D213" s="709"/>
      <c r="E213" s="709"/>
      <c r="F213" s="709"/>
      <c r="G213" s="709"/>
      <c r="H213" s="709"/>
      <c r="I213" s="709"/>
      <c r="J213" s="710"/>
    </row>
    <row r="214" spans="1:10" ht="13.5" customHeight="1">
      <c r="A214" s="77" t="s">
        <v>1689</v>
      </c>
      <c r="B214" s="708" t="s">
        <v>1690</v>
      </c>
      <c r="C214" s="709"/>
      <c r="D214" s="709"/>
      <c r="E214" s="709"/>
      <c r="F214" s="709"/>
      <c r="G214" s="709"/>
      <c r="H214" s="709"/>
      <c r="I214" s="709"/>
      <c r="J214" s="710"/>
    </row>
    <row r="215" spans="1:10" ht="13.5" customHeight="1">
      <c r="A215" s="77" t="s">
        <v>1691</v>
      </c>
      <c r="B215" s="708" t="s">
        <v>1692</v>
      </c>
      <c r="C215" s="709"/>
      <c r="D215" s="709"/>
      <c r="E215" s="709"/>
      <c r="F215" s="709"/>
      <c r="G215" s="709"/>
      <c r="H215" s="709"/>
      <c r="I215" s="709"/>
      <c r="J215" s="710"/>
    </row>
    <row r="216" spans="1:10" ht="13.5" customHeight="1">
      <c r="A216" s="77" t="s">
        <v>1693</v>
      </c>
      <c r="B216" s="708" t="s">
        <v>1694</v>
      </c>
      <c r="C216" s="709"/>
      <c r="D216" s="709"/>
      <c r="E216" s="709"/>
      <c r="F216" s="709"/>
      <c r="G216" s="709"/>
      <c r="H216" s="709"/>
      <c r="I216" s="709"/>
      <c r="J216" s="710"/>
    </row>
    <row r="217" spans="1:10" ht="13.5" customHeight="1">
      <c r="A217" s="77" t="s">
        <v>1695</v>
      </c>
      <c r="B217" s="708" t="s">
        <v>2439</v>
      </c>
      <c r="C217" s="709"/>
      <c r="D217" s="709"/>
      <c r="E217" s="709"/>
      <c r="F217" s="709"/>
      <c r="G217" s="709"/>
      <c r="H217" s="709"/>
      <c r="I217" s="709"/>
      <c r="J217" s="710"/>
    </row>
    <row r="218" spans="1:10" ht="13.5" customHeight="1">
      <c r="A218" s="77" t="s">
        <v>2440</v>
      </c>
      <c r="B218" s="708" t="s">
        <v>2441</v>
      </c>
      <c r="C218" s="709"/>
      <c r="D218" s="709"/>
      <c r="E218" s="709"/>
      <c r="F218" s="709"/>
      <c r="G218" s="709"/>
      <c r="H218" s="709"/>
      <c r="I218" s="709"/>
      <c r="J218" s="710"/>
    </row>
    <row r="219" spans="1:10" ht="13.5" customHeight="1">
      <c r="A219" s="77" t="s">
        <v>2442</v>
      </c>
      <c r="B219" s="708" t="s">
        <v>2443</v>
      </c>
      <c r="C219" s="709"/>
      <c r="D219" s="709"/>
      <c r="E219" s="709"/>
      <c r="F219" s="709"/>
      <c r="G219" s="709"/>
      <c r="H219" s="709"/>
      <c r="I219" s="709"/>
      <c r="J219" s="710"/>
    </row>
    <row r="220" spans="1:10" ht="13.5" customHeight="1">
      <c r="A220" s="77" t="s">
        <v>2444</v>
      </c>
      <c r="B220" s="708" t="s">
        <v>2445</v>
      </c>
      <c r="C220" s="709"/>
      <c r="D220" s="709"/>
      <c r="E220" s="709"/>
      <c r="F220" s="709"/>
      <c r="G220" s="709"/>
      <c r="H220" s="709"/>
      <c r="I220" s="709"/>
      <c r="J220" s="710"/>
    </row>
    <row r="221" spans="1:10" ht="13.5" customHeight="1">
      <c r="A221" s="77" t="s">
        <v>2446</v>
      </c>
      <c r="B221" s="708" t="s">
        <v>2447</v>
      </c>
      <c r="C221" s="709"/>
      <c r="D221" s="709"/>
      <c r="E221" s="709"/>
      <c r="F221" s="709"/>
      <c r="G221" s="709"/>
      <c r="H221" s="709"/>
      <c r="I221" s="709"/>
      <c r="J221" s="710"/>
    </row>
    <row r="222" spans="1:10" ht="13.5" customHeight="1">
      <c r="A222" s="77" t="s">
        <v>2448</v>
      </c>
      <c r="B222" s="708" t="s">
        <v>755</v>
      </c>
      <c r="C222" s="709"/>
      <c r="D222" s="709"/>
      <c r="E222" s="709"/>
      <c r="F222" s="709"/>
      <c r="G222" s="709"/>
      <c r="H222" s="709"/>
      <c r="I222" s="709"/>
      <c r="J222" s="710"/>
    </row>
    <row r="223" spans="1:10" ht="13.5" customHeight="1">
      <c r="A223" s="77" t="s">
        <v>756</v>
      </c>
      <c r="B223" s="708" t="s">
        <v>757</v>
      </c>
      <c r="C223" s="709"/>
      <c r="D223" s="709"/>
      <c r="E223" s="709"/>
      <c r="F223" s="709"/>
      <c r="G223" s="709"/>
      <c r="H223" s="709"/>
      <c r="I223" s="709"/>
      <c r="J223" s="710"/>
    </row>
    <row r="224" spans="1:10" ht="13.5" customHeight="1">
      <c r="A224" s="77" t="s">
        <v>758</v>
      </c>
      <c r="B224" s="708" t="s">
        <v>759</v>
      </c>
      <c r="C224" s="709"/>
      <c r="D224" s="709"/>
      <c r="E224" s="709"/>
      <c r="F224" s="709"/>
      <c r="G224" s="709"/>
      <c r="H224" s="709"/>
      <c r="I224" s="709"/>
      <c r="J224" s="710"/>
    </row>
    <row r="225" spans="1:10" ht="13.5" customHeight="1">
      <c r="A225" s="77" t="s">
        <v>760</v>
      </c>
      <c r="B225" s="708" t="s">
        <v>761</v>
      </c>
      <c r="C225" s="709"/>
      <c r="D225" s="709"/>
      <c r="E225" s="709"/>
      <c r="F225" s="709"/>
      <c r="G225" s="709"/>
      <c r="H225" s="709"/>
      <c r="I225" s="709"/>
      <c r="J225" s="710"/>
    </row>
    <row r="226" spans="1:10" ht="13.5" customHeight="1">
      <c r="A226" s="77" t="s">
        <v>762</v>
      </c>
      <c r="B226" s="708" t="s">
        <v>763</v>
      </c>
      <c r="C226" s="709"/>
      <c r="D226" s="709"/>
      <c r="E226" s="709"/>
      <c r="F226" s="709"/>
      <c r="G226" s="709"/>
      <c r="H226" s="709"/>
      <c r="I226" s="709"/>
      <c r="J226" s="710"/>
    </row>
    <row r="227" spans="1:10" ht="13.5" customHeight="1">
      <c r="A227" s="77" t="s">
        <v>764</v>
      </c>
      <c r="B227" s="708" t="s">
        <v>765</v>
      </c>
      <c r="C227" s="709"/>
      <c r="D227" s="709"/>
      <c r="E227" s="709"/>
      <c r="F227" s="709"/>
      <c r="G227" s="709"/>
      <c r="H227" s="709"/>
      <c r="I227" s="709"/>
      <c r="J227" s="710"/>
    </row>
    <row r="228" spans="1:10" ht="13.5" customHeight="1">
      <c r="A228" s="77" t="s">
        <v>766</v>
      </c>
      <c r="B228" s="708" t="s">
        <v>767</v>
      </c>
      <c r="C228" s="709"/>
      <c r="D228" s="709"/>
      <c r="E228" s="709"/>
      <c r="F228" s="709"/>
      <c r="G228" s="709"/>
      <c r="H228" s="709"/>
      <c r="I228" s="709"/>
      <c r="J228" s="710"/>
    </row>
    <row r="229" spans="1:10" ht="13.5" customHeight="1">
      <c r="A229" s="77" t="s">
        <v>768</v>
      </c>
      <c r="B229" s="708" t="s">
        <v>769</v>
      </c>
      <c r="C229" s="709"/>
      <c r="D229" s="709"/>
      <c r="E229" s="709"/>
      <c r="F229" s="709"/>
      <c r="G229" s="709"/>
      <c r="H229" s="709"/>
      <c r="I229" s="709"/>
      <c r="J229" s="710"/>
    </row>
    <row r="230" spans="1:10" ht="13.5" customHeight="1">
      <c r="A230" s="77" t="s">
        <v>389</v>
      </c>
      <c r="B230" s="708" t="s">
        <v>26</v>
      </c>
      <c r="C230" s="709"/>
      <c r="D230" s="709"/>
      <c r="E230" s="709"/>
      <c r="F230" s="709"/>
      <c r="G230" s="709"/>
      <c r="H230" s="709"/>
      <c r="I230" s="709"/>
      <c r="J230" s="710"/>
    </row>
    <row r="231" spans="1:10" ht="13.5" customHeight="1">
      <c r="A231" s="77" t="s">
        <v>27</v>
      </c>
      <c r="B231" s="708" t="s">
        <v>28</v>
      </c>
      <c r="C231" s="709"/>
      <c r="D231" s="709"/>
      <c r="E231" s="709"/>
      <c r="F231" s="709"/>
      <c r="G231" s="709"/>
      <c r="H231" s="709"/>
      <c r="I231" s="709"/>
      <c r="J231" s="710"/>
    </row>
    <row r="232" spans="1:10" ht="13.5" customHeight="1">
      <c r="A232" s="77" t="s">
        <v>29</v>
      </c>
      <c r="B232" s="708" t="s">
        <v>30</v>
      </c>
      <c r="C232" s="709"/>
      <c r="D232" s="709"/>
      <c r="E232" s="709"/>
      <c r="F232" s="709"/>
      <c r="G232" s="709"/>
      <c r="H232" s="709"/>
      <c r="I232" s="709"/>
      <c r="J232" s="710"/>
    </row>
    <row r="233" spans="1:10" ht="13.5" customHeight="1">
      <c r="A233" s="77" t="s">
        <v>31</v>
      </c>
      <c r="B233" s="708" t="s">
        <v>32</v>
      </c>
      <c r="C233" s="709"/>
      <c r="D233" s="709"/>
      <c r="E233" s="709"/>
      <c r="F233" s="709"/>
      <c r="G233" s="709"/>
      <c r="H233" s="709"/>
      <c r="I233" s="709"/>
      <c r="J233" s="710"/>
    </row>
    <row r="234" spans="1:10" ht="13.5" customHeight="1">
      <c r="A234" s="77" t="s">
        <v>33</v>
      </c>
      <c r="B234" s="708" t="s">
        <v>34</v>
      </c>
      <c r="C234" s="709"/>
      <c r="D234" s="709"/>
      <c r="E234" s="709"/>
      <c r="F234" s="709"/>
      <c r="G234" s="709"/>
      <c r="H234" s="709"/>
      <c r="I234" s="709"/>
      <c r="J234" s="710"/>
    </row>
    <row r="235" spans="1:10" ht="13.5" customHeight="1">
      <c r="A235" s="77" t="s">
        <v>35</v>
      </c>
      <c r="B235" s="708" t="s">
        <v>36</v>
      </c>
      <c r="C235" s="709"/>
      <c r="D235" s="709"/>
      <c r="E235" s="709"/>
      <c r="F235" s="709"/>
      <c r="G235" s="709"/>
      <c r="H235" s="709"/>
      <c r="I235" s="709"/>
      <c r="J235" s="710"/>
    </row>
    <row r="236" spans="1:10" ht="13.5" customHeight="1">
      <c r="A236" s="77" t="s">
        <v>37</v>
      </c>
      <c r="B236" s="708" t="s">
        <v>38</v>
      </c>
      <c r="C236" s="709"/>
      <c r="D236" s="709"/>
      <c r="E236" s="709"/>
      <c r="F236" s="709"/>
      <c r="G236" s="709"/>
      <c r="H236" s="709"/>
      <c r="I236" s="709"/>
      <c r="J236" s="710"/>
    </row>
    <row r="237" spans="1:10" ht="13.5" customHeight="1">
      <c r="A237" s="77" t="s">
        <v>39</v>
      </c>
      <c r="B237" s="708" t="s">
        <v>40</v>
      </c>
      <c r="C237" s="709"/>
      <c r="D237" s="709"/>
      <c r="E237" s="709"/>
      <c r="F237" s="709"/>
      <c r="G237" s="709"/>
      <c r="H237" s="709"/>
      <c r="I237" s="709"/>
      <c r="J237" s="710"/>
    </row>
    <row r="238" spans="1:10" ht="13.5" customHeight="1">
      <c r="A238" s="77" t="s">
        <v>41</v>
      </c>
      <c r="B238" s="708" t="s">
        <v>42</v>
      </c>
      <c r="C238" s="709"/>
      <c r="D238" s="709"/>
      <c r="E238" s="709"/>
      <c r="F238" s="709"/>
      <c r="G238" s="709"/>
      <c r="H238" s="709"/>
      <c r="I238" s="709"/>
      <c r="J238" s="710"/>
    </row>
    <row r="239" spans="1:10" ht="13.5" customHeight="1">
      <c r="A239" s="77" t="s">
        <v>43</v>
      </c>
      <c r="B239" s="708" t="s">
        <v>44</v>
      </c>
      <c r="C239" s="709"/>
      <c r="D239" s="709"/>
      <c r="E239" s="709"/>
      <c r="F239" s="709"/>
      <c r="G239" s="709"/>
      <c r="H239" s="709"/>
      <c r="I239" s="709"/>
      <c r="J239" s="710"/>
    </row>
    <row r="240" spans="1:10" ht="13.5" customHeight="1">
      <c r="A240" s="77" t="s">
        <v>45</v>
      </c>
      <c r="B240" s="708" t="s">
        <v>46</v>
      </c>
      <c r="C240" s="709"/>
      <c r="D240" s="709"/>
      <c r="E240" s="709"/>
      <c r="F240" s="709"/>
      <c r="G240" s="709"/>
      <c r="H240" s="709"/>
      <c r="I240" s="709"/>
      <c r="J240" s="710"/>
    </row>
    <row r="241" spans="1:10" ht="13.5" customHeight="1">
      <c r="A241" s="77" t="s">
        <v>47</v>
      </c>
      <c r="B241" s="708" t="s">
        <v>318</v>
      </c>
      <c r="C241" s="709"/>
      <c r="D241" s="709"/>
      <c r="E241" s="709"/>
      <c r="F241" s="709"/>
      <c r="G241" s="709"/>
      <c r="H241" s="709"/>
      <c r="I241" s="709"/>
      <c r="J241" s="710"/>
    </row>
    <row r="242" spans="1:10" ht="13.5" customHeight="1">
      <c r="A242" s="77" t="s">
        <v>319</v>
      </c>
      <c r="B242" s="708" t="s">
        <v>320</v>
      </c>
      <c r="C242" s="709"/>
      <c r="D242" s="709"/>
      <c r="E242" s="709"/>
      <c r="F242" s="709"/>
      <c r="G242" s="709"/>
      <c r="H242" s="709"/>
      <c r="I242" s="709"/>
      <c r="J242" s="710"/>
    </row>
    <row r="243" spans="1:10" ht="13.5" customHeight="1">
      <c r="A243" s="77" t="s">
        <v>321</v>
      </c>
      <c r="B243" s="708" t="s">
        <v>322</v>
      </c>
      <c r="C243" s="709"/>
      <c r="D243" s="709"/>
      <c r="E243" s="709"/>
      <c r="F243" s="709"/>
      <c r="G243" s="709"/>
      <c r="H243" s="709"/>
      <c r="I243" s="709"/>
      <c r="J243" s="710"/>
    </row>
    <row r="244" spans="1:10" ht="13.5" customHeight="1">
      <c r="A244" s="77" t="s">
        <v>323</v>
      </c>
      <c r="B244" s="708" t="s">
        <v>324</v>
      </c>
      <c r="C244" s="709"/>
      <c r="D244" s="709"/>
      <c r="E244" s="709"/>
      <c r="F244" s="709"/>
      <c r="G244" s="709"/>
      <c r="H244" s="709"/>
      <c r="I244" s="709"/>
      <c r="J244" s="710"/>
    </row>
    <row r="245" spans="1:10" ht="13.5" customHeight="1">
      <c r="A245" s="77" t="s">
        <v>325</v>
      </c>
      <c r="B245" s="708" t="s">
        <v>326</v>
      </c>
      <c r="C245" s="709"/>
      <c r="D245" s="709"/>
      <c r="E245" s="709"/>
      <c r="F245" s="709"/>
      <c r="G245" s="709"/>
      <c r="H245" s="709"/>
      <c r="I245" s="709"/>
      <c r="J245" s="710"/>
    </row>
    <row r="246" spans="1:10" ht="13.5" customHeight="1">
      <c r="A246" s="77" t="s">
        <v>327</v>
      </c>
      <c r="B246" s="708" t="s">
        <v>328</v>
      </c>
      <c r="C246" s="709"/>
      <c r="D246" s="709"/>
      <c r="E246" s="709"/>
      <c r="F246" s="709"/>
      <c r="G246" s="709"/>
      <c r="H246" s="709"/>
      <c r="I246" s="709"/>
      <c r="J246" s="710"/>
    </row>
    <row r="247" spans="1:10" ht="13.5" customHeight="1">
      <c r="A247" s="77" t="s">
        <v>329</v>
      </c>
      <c r="B247" s="708" t="s">
        <v>166</v>
      </c>
      <c r="C247" s="709"/>
      <c r="D247" s="709"/>
      <c r="E247" s="709"/>
      <c r="F247" s="709"/>
      <c r="G247" s="709"/>
      <c r="H247" s="709"/>
      <c r="I247" s="709"/>
      <c r="J247" s="710"/>
    </row>
    <row r="248" spans="1:10" ht="13.5" customHeight="1">
      <c r="A248" s="77" t="s">
        <v>167</v>
      </c>
      <c r="B248" s="708" t="s">
        <v>168</v>
      </c>
      <c r="C248" s="709"/>
      <c r="D248" s="709"/>
      <c r="E248" s="709"/>
      <c r="F248" s="709"/>
      <c r="G248" s="709"/>
      <c r="H248" s="709"/>
      <c r="I248" s="709"/>
      <c r="J248" s="710"/>
    </row>
    <row r="249" spans="1:10" ht="13.5" customHeight="1">
      <c r="A249" s="77" t="s">
        <v>169</v>
      </c>
      <c r="B249" s="708" t="s">
        <v>1559</v>
      </c>
      <c r="C249" s="709"/>
      <c r="D249" s="709"/>
      <c r="E249" s="709"/>
      <c r="F249" s="709"/>
      <c r="G249" s="709"/>
      <c r="H249" s="709"/>
      <c r="I249" s="709"/>
      <c r="J249" s="710"/>
    </row>
    <row r="250" spans="1:10" ht="13.5" customHeight="1">
      <c r="A250" s="77" t="s">
        <v>1560</v>
      </c>
      <c r="B250" s="708" t="s">
        <v>330</v>
      </c>
      <c r="C250" s="709"/>
      <c r="D250" s="709"/>
      <c r="E250" s="709"/>
      <c r="F250" s="709"/>
      <c r="G250" s="709"/>
      <c r="H250" s="709"/>
      <c r="I250" s="709"/>
      <c r="J250" s="710"/>
    </row>
    <row r="251" spans="1:10" ht="13.5" customHeight="1">
      <c r="A251" s="77" t="s">
        <v>331</v>
      </c>
      <c r="B251" s="708" t="s">
        <v>1821</v>
      </c>
      <c r="C251" s="709"/>
      <c r="D251" s="709"/>
      <c r="E251" s="709"/>
      <c r="F251" s="709"/>
      <c r="G251" s="709"/>
      <c r="H251" s="709"/>
      <c r="I251" s="709"/>
      <c r="J251" s="710"/>
    </row>
    <row r="252" spans="1:10" ht="13.5" customHeight="1">
      <c r="A252" s="77" t="s">
        <v>1822</v>
      </c>
      <c r="B252" s="708" t="s">
        <v>1823</v>
      </c>
      <c r="C252" s="709"/>
      <c r="D252" s="709"/>
      <c r="E252" s="709"/>
      <c r="F252" s="709"/>
      <c r="G252" s="709"/>
      <c r="H252" s="709"/>
      <c r="I252" s="709"/>
      <c r="J252" s="710"/>
    </row>
    <row r="253" spans="1:10" ht="13.5" customHeight="1">
      <c r="A253" s="77" t="s">
        <v>1824</v>
      </c>
      <c r="B253" s="708" t="s">
        <v>1825</v>
      </c>
      <c r="C253" s="709"/>
      <c r="D253" s="709"/>
      <c r="E253" s="709"/>
      <c r="F253" s="709"/>
      <c r="G253" s="709"/>
      <c r="H253" s="709"/>
      <c r="I253" s="709"/>
      <c r="J253" s="710"/>
    </row>
    <row r="254" spans="1:10" ht="13.5" customHeight="1">
      <c r="A254" s="77" t="s">
        <v>1826</v>
      </c>
      <c r="B254" s="708" t="s">
        <v>1827</v>
      </c>
      <c r="C254" s="709"/>
      <c r="D254" s="709"/>
      <c r="E254" s="709"/>
      <c r="F254" s="709"/>
      <c r="G254" s="709"/>
      <c r="H254" s="709"/>
      <c r="I254" s="709"/>
      <c r="J254" s="710"/>
    </row>
    <row r="255" spans="1:10" ht="13.5" customHeight="1">
      <c r="A255" s="77" t="s">
        <v>1828</v>
      </c>
      <c r="B255" s="708" t="s">
        <v>1829</v>
      </c>
      <c r="C255" s="709"/>
      <c r="D255" s="709"/>
      <c r="E255" s="709"/>
      <c r="F255" s="709"/>
      <c r="G255" s="709"/>
      <c r="H255" s="709"/>
      <c r="I255" s="709"/>
      <c r="J255" s="710"/>
    </row>
    <row r="256" spans="1:10" ht="13.5" customHeight="1">
      <c r="A256" s="77" t="s">
        <v>1830</v>
      </c>
      <c r="B256" s="708" t="s">
        <v>1831</v>
      </c>
      <c r="C256" s="709"/>
      <c r="D256" s="709"/>
      <c r="E256" s="709"/>
      <c r="F256" s="709"/>
      <c r="G256" s="709"/>
      <c r="H256" s="709"/>
      <c r="I256" s="709"/>
      <c r="J256" s="710"/>
    </row>
    <row r="257" spans="1:10" ht="13.5" customHeight="1">
      <c r="A257" s="77" t="s">
        <v>1832</v>
      </c>
      <c r="B257" s="708" t="s">
        <v>1833</v>
      </c>
      <c r="C257" s="709"/>
      <c r="D257" s="709"/>
      <c r="E257" s="709"/>
      <c r="F257" s="709"/>
      <c r="G257" s="709"/>
      <c r="H257" s="709"/>
      <c r="I257" s="709"/>
      <c r="J257" s="710"/>
    </row>
    <row r="258" spans="1:10" ht="13.5" customHeight="1">
      <c r="A258" s="77" t="s">
        <v>1834</v>
      </c>
      <c r="B258" s="708" t="s">
        <v>1835</v>
      </c>
      <c r="C258" s="709"/>
      <c r="D258" s="709"/>
      <c r="E258" s="709"/>
      <c r="F258" s="709"/>
      <c r="G258" s="709"/>
      <c r="H258" s="709"/>
      <c r="I258" s="709"/>
      <c r="J258" s="710"/>
    </row>
    <row r="259" spans="1:10" ht="13.5" customHeight="1">
      <c r="A259" s="77" t="s">
        <v>1836</v>
      </c>
      <c r="B259" s="708" t="s">
        <v>1837</v>
      </c>
      <c r="C259" s="709"/>
      <c r="D259" s="709"/>
      <c r="E259" s="709"/>
      <c r="F259" s="709"/>
      <c r="G259" s="709"/>
      <c r="H259" s="709"/>
      <c r="I259" s="709"/>
      <c r="J259" s="710"/>
    </row>
    <row r="260" spans="1:10" ht="13.5" customHeight="1">
      <c r="A260" s="77" t="s">
        <v>1838</v>
      </c>
      <c r="B260" s="708" t="s">
        <v>1839</v>
      </c>
      <c r="C260" s="709"/>
      <c r="D260" s="709"/>
      <c r="E260" s="709"/>
      <c r="F260" s="709"/>
      <c r="G260" s="709"/>
      <c r="H260" s="709"/>
      <c r="I260" s="709"/>
      <c r="J260" s="710"/>
    </row>
    <row r="261" spans="1:10" ht="13.5" customHeight="1">
      <c r="A261" s="77" t="s">
        <v>1840</v>
      </c>
      <c r="B261" s="708" t="s">
        <v>1841</v>
      </c>
      <c r="C261" s="709"/>
      <c r="D261" s="709"/>
      <c r="E261" s="709"/>
      <c r="F261" s="709"/>
      <c r="G261" s="709"/>
      <c r="H261" s="709"/>
      <c r="I261" s="709"/>
      <c r="J261" s="710"/>
    </row>
    <row r="262" spans="1:10" ht="13.5" customHeight="1">
      <c r="A262" s="77" t="s">
        <v>1637</v>
      </c>
      <c r="B262" s="708" t="s">
        <v>1638</v>
      </c>
      <c r="C262" s="709"/>
      <c r="D262" s="709"/>
      <c r="E262" s="709"/>
      <c r="F262" s="709"/>
      <c r="G262" s="709"/>
      <c r="H262" s="709"/>
      <c r="I262" s="709"/>
      <c r="J262" s="710"/>
    </row>
    <row r="263" spans="1:10" ht="13.5" customHeight="1">
      <c r="A263" s="77" t="s">
        <v>1639</v>
      </c>
      <c r="B263" s="708" t="s">
        <v>1640</v>
      </c>
      <c r="C263" s="709"/>
      <c r="D263" s="709"/>
      <c r="E263" s="709"/>
      <c r="F263" s="709"/>
      <c r="G263" s="709"/>
      <c r="H263" s="709"/>
      <c r="I263" s="709"/>
      <c r="J263" s="710"/>
    </row>
    <row r="264" spans="1:10" ht="13.5" customHeight="1">
      <c r="A264" s="77" t="s">
        <v>1641</v>
      </c>
      <c r="B264" s="708" t="s">
        <v>1642</v>
      </c>
      <c r="C264" s="709"/>
      <c r="D264" s="709"/>
      <c r="E264" s="709"/>
      <c r="F264" s="709"/>
      <c r="G264" s="709"/>
      <c r="H264" s="709"/>
      <c r="I264" s="709"/>
      <c r="J264" s="710"/>
    </row>
    <row r="265" spans="1:10" ht="13.5" customHeight="1">
      <c r="A265" s="77" t="s">
        <v>1643</v>
      </c>
      <c r="B265" s="708" t="s">
        <v>2356</v>
      </c>
      <c r="C265" s="709"/>
      <c r="D265" s="709"/>
      <c r="E265" s="709"/>
      <c r="F265" s="709"/>
      <c r="G265" s="709"/>
      <c r="H265" s="709"/>
      <c r="I265" s="709"/>
      <c r="J265" s="710"/>
    </row>
    <row r="266" spans="1:10" ht="13.5" customHeight="1">
      <c r="A266" s="77" t="s">
        <v>2357</v>
      </c>
      <c r="B266" s="708" t="s">
        <v>2358</v>
      </c>
      <c r="C266" s="709"/>
      <c r="D266" s="709"/>
      <c r="E266" s="709"/>
      <c r="F266" s="709"/>
      <c r="G266" s="709"/>
      <c r="H266" s="709"/>
      <c r="I266" s="709"/>
      <c r="J266" s="710"/>
    </row>
    <row r="267" spans="1:10" ht="13.5" customHeight="1">
      <c r="A267" s="77" t="s">
        <v>2359</v>
      </c>
      <c r="B267" s="708" t="s">
        <v>2360</v>
      </c>
      <c r="C267" s="709"/>
      <c r="D267" s="709"/>
      <c r="E267" s="709"/>
      <c r="F267" s="709"/>
      <c r="G267" s="709"/>
      <c r="H267" s="709"/>
      <c r="I267" s="709"/>
      <c r="J267" s="710"/>
    </row>
    <row r="268" spans="1:10" ht="13.5" customHeight="1">
      <c r="A268" s="77" t="s">
        <v>2361</v>
      </c>
      <c r="B268" s="708" t="s">
        <v>2362</v>
      </c>
      <c r="C268" s="709"/>
      <c r="D268" s="709"/>
      <c r="E268" s="709"/>
      <c r="F268" s="709"/>
      <c r="G268" s="709"/>
      <c r="H268" s="709"/>
      <c r="I268" s="709"/>
      <c r="J268" s="710"/>
    </row>
    <row r="269" spans="1:10" ht="13.5" customHeight="1">
      <c r="A269" s="77" t="s">
        <v>2363</v>
      </c>
      <c r="B269" s="708" t="s">
        <v>2364</v>
      </c>
      <c r="C269" s="709"/>
      <c r="D269" s="709"/>
      <c r="E269" s="709"/>
      <c r="F269" s="709"/>
      <c r="G269" s="709"/>
      <c r="H269" s="709"/>
      <c r="I269" s="709"/>
      <c r="J269" s="710"/>
    </row>
    <row r="270" spans="1:10" ht="13.5" customHeight="1">
      <c r="A270" s="77" t="s">
        <v>2365</v>
      </c>
      <c r="B270" s="708" t="s">
        <v>2366</v>
      </c>
      <c r="C270" s="709"/>
      <c r="D270" s="709"/>
      <c r="E270" s="709"/>
      <c r="F270" s="709"/>
      <c r="G270" s="709"/>
      <c r="H270" s="709"/>
      <c r="I270" s="709"/>
      <c r="J270" s="710"/>
    </row>
    <row r="271" spans="1:10" ht="13.5" customHeight="1">
      <c r="A271" s="77" t="s">
        <v>2367</v>
      </c>
      <c r="B271" s="708" t="s">
        <v>2368</v>
      </c>
      <c r="C271" s="709"/>
      <c r="D271" s="709"/>
      <c r="E271" s="709"/>
      <c r="F271" s="709"/>
      <c r="G271" s="709"/>
      <c r="H271" s="709"/>
      <c r="I271" s="709"/>
      <c r="J271" s="710"/>
    </row>
    <row r="272" spans="1:10" ht="13.5" customHeight="1">
      <c r="A272" s="77" t="s">
        <v>2369</v>
      </c>
      <c r="B272" s="708" t="s">
        <v>2370</v>
      </c>
      <c r="C272" s="709"/>
      <c r="D272" s="709"/>
      <c r="E272" s="709"/>
      <c r="F272" s="709"/>
      <c r="G272" s="709"/>
      <c r="H272" s="709"/>
      <c r="I272" s="709"/>
      <c r="J272" s="710"/>
    </row>
    <row r="273" spans="1:10" ht="13.5" customHeight="1">
      <c r="A273" s="77" t="s">
        <v>2371</v>
      </c>
      <c r="B273" s="708" t="s">
        <v>352</v>
      </c>
      <c r="C273" s="709"/>
      <c r="D273" s="709"/>
      <c r="E273" s="709"/>
      <c r="F273" s="709"/>
      <c r="G273" s="709"/>
      <c r="H273" s="709"/>
      <c r="I273" s="709"/>
      <c r="J273" s="710"/>
    </row>
    <row r="274" spans="1:10" ht="13.5" customHeight="1">
      <c r="A274" s="77" t="s">
        <v>353</v>
      </c>
      <c r="B274" s="708" t="s">
        <v>354</v>
      </c>
      <c r="C274" s="709"/>
      <c r="D274" s="709"/>
      <c r="E274" s="709"/>
      <c r="F274" s="709"/>
      <c r="G274" s="709"/>
      <c r="H274" s="709"/>
      <c r="I274" s="709"/>
      <c r="J274" s="710"/>
    </row>
    <row r="275" spans="1:10" ht="13.5" customHeight="1">
      <c r="A275" s="77" t="s">
        <v>355</v>
      </c>
      <c r="B275" s="708" t="s">
        <v>356</v>
      </c>
      <c r="C275" s="709"/>
      <c r="D275" s="709"/>
      <c r="E275" s="709"/>
      <c r="F275" s="709"/>
      <c r="G275" s="709"/>
      <c r="H275" s="709"/>
      <c r="I275" s="709"/>
      <c r="J275" s="710"/>
    </row>
    <row r="276" spans="1:10" ht="13.5" customHeight="1">
      <c r="A276" s="77" t="s">
        <v>357</v>
      </c>
      <c r="B276" s="708" t="s">
        <v>358</v>
      </c>
      <c r="C276" s="709"/>
      <c r="D276" s="709"/>
      <c r="E276" s="709"/>
      <c r="F276" s="709"/>
      <c r="G276" s="709"/>
      <c r="H276" s="709"/>
      <c r="I276" s="709"/>
      <c r="J276" s="710"/>
    </row>
    <row r="277" spans="1:10" ht="13.5" customHeight="1">
      <c r="A277" s="77" t="s">
        <v>359</v>
      </c>
      <c r="B277" s="708" t="s">
        <v>360</v>
      </c>
      <c r="C277" s="709"/>
      <c r="D277" s="709"/>
      <c r="E277" s="709"/>
      <c r="F277" s="709"/>
      <c r="G277" s="709"/>
      <c r="H277" s="709"/>
      <c r="I277" s="709"/>
      <c r="J277" s="710"/>
    </row>
    <row r="278" spans="1:10" ht="13.5" customHeight="1">
      <c r="A278" s="77" t="s">
        <v>361</v>
      </c>
      <c r="B278" s="708" t="s">
        <v>460</v>
      </c>
      <c r="C278" s="709"/>
      <c r="D278" s="709"/>
      <c r="E278" s="709"/>
      <c r="F278" s="709"/>
      <c r="G278" s="709"/>
      <c r="H278" s="709"/>
      <c r="I278" s="709"/>
      <c r="J278" s="710"/>
    </row>
    <row r="279" spans="1:10" ht="13.5" customHeight="1">
      <c r="A279" s="77" t="s">
        <v>461</v>
      </c>
      <c r="B279" s="708" t="s">
        <v>462</v>
      </c>
      <c r="C279" s="709"/>
      <c r="D279" s="709"/>
      <c r="E279" s="709"/>
      <c r="F279" s="709"/>
      <c r="G279" s="709"/>
      <c r="H279" s="709"/>
      <c r="I279" s="709"/>
      <c r="J279" s="710"/>
    </row>
    <row r="280" spans="1:10" ht="13.5" customHeight="1">
      <c r="A280" s="77" t="s">
        <v>463</v>
      </c>
      <c r="B280" s="708" t="s">
        <v>464</v>
      </c>
      <c r="C280" s="709"/>
      <c r="D280" s="709"/>
      <c r="E280" s="709"/>
      <c r="F280" s="709"/>
      <c r="G280" s="709"/>
      <c r="H280" s="709"/>
      <c r="I280" s="709"/>
      <c r="J280" s="710"/>
    </row>
    <row r="281" spans="1:10" ht="13.5" customHeight="1">
      <c r="A281" s="77" t="s">
        <v>465</v>
      </c>
      <c r="B281" s="708" t="s">
        <v>466</v>
      </c>
      <c r="C281" s="709"/>
      <c r="D281" s="709"/>
      <c r="E281" s="709"/>
      <c r="F281" s="709"/>
      <c r="G281" s="709"/>
      <c r="H281" s="709"/>
      <c r="I281" s="709"/>
      <c r="J281" s="710"/>
    </row>
    <row r="282" spans="1:10" ht="13.5" customHeight="1">
      <c r="A282" s="77" t="s">
        <v>467</v>
      </c>
      <c r="B282" s="708" t="s">
        <v>468</v>
      </c>
      <c r="C282" s="709"/>
      <c r="D282" s="709"/>
      <c r="E282" s="709"/>
      <c r="F282" s="709"/>
      <c r="G282" s="709"/>
      <c r="H282" s="709"/>
      <c r="I282" s="709"/>
      <c r="J282" s="710"/>
    </row>
    <row r="283" spans="1:10" ht="13.5" customHeight="1">
      <c r="A283" s="77" t="s">
        <v>469</v>
      </c>
      <c r="B283" s="708" t="s">
        <v>470</v>
      </c>
      <c r="C283" s="709"/>
      <c r="D283" s="709"/>
      <c r="E283" s="709"/>
      <c r="F283" s="709"/>
      <c r="G283" s="709"/>
      <c r="H283" s="709"/>
      <c r="I283" s="709"/>
      <c r="J283" s="710"/>
    </row>
    <row r="284" spans="1:10" ht="13.5" customHeight="1">
      <c r="A284" s="77" t="s">
        <v>471</v>
      </c>
      <c r="B284" s="708" t="s">
        <v>472</v>
      </c>
      <c r="C284" s="709"/>
      <c r="D284" s="709"/>
      <c r="E284" s="709"/>
      <c r="F284" s="709"/>
      <c r="G284" s="709"/>
      <c r="H284" s="709"/>
      <c r="I284" s="709"/>
      <c r="J284" s="710"/>
    </row>
    <row r="285" spans="1:10" ht="13.5" customHeight="1">
      <c r="A285" s="77" t="s">
        <v>473</v>
      </c>
      <c r="B285" s="708" t="s">
        <v>474</v>
      </c>
      <c r="C285" s="709"/>
      <c r="D285" s="709"/>
      <c r="E285" s="709"/>
      <c r="F285" s="709"/>
      <c r="G285" s="709"/>
      <c r="H285" s="709"/>
      <c r="I285" s="709"/>
      <c r="J285" s="710"/>
    </row>
    <row r="286" spans="1:10" ht="13.5" customHeight="1">
      <c r="A286" s="77" t="s">
        <v>475</v>
      </c>
      <c r="B286" s="708" t="s">
        <v>2002</v>
      </c>
      <c r="C286" s="709"/>
      <c r="D286" s="709"/>
      <c r="E286" s="709"/>
      <c r="F286" s="709"/>
      <c r="G286" s="709"/>
      <c r="H286" s="709"/>
      <c r="I286" s="709"/>
      <c r="J286" s="710"/>
    </row>
    <row r="287" spans="1:10" ht="13.5" customHeight="1">
      <c r="A287" s="77" t="s">
        <v>2003</v>
      </c>
      <c r="B287" s="708" t="s">
        <v>2004</v>
      </c>
      <c r="C287" s="709"/>
      <c r="D287" s="709"/>
      <c r="E287" s="709"/>
      <c r="F287" s="709"/>
      <c r="G287" s="709"/>
      <c r="H287" s="709"/>
      <c r="I287" s="709"/>
      <c r="J287" s="710"/>
    </row>
    <row r="288" spans="1:10" ht="13.5" customHeight="1">
      <c r="A288" s="77" t="s">
        <v>2005</v>
      </c>
      <c r="B288" s="708" t="s">
        <v>2006</v>
      </c>
      <c r="C288" s="709"/>
      <c r="D288" s="709"/>
      <c r="E288" s="709"/>
      <c r="F288" s="709"/>
      <c r="G288" s="709"/>
      <c r="H288" s="709"/>
      <c r="I288" s="709"/>
      <c r="J288" s="710"/>
    </row>
    <row r="289" spans="1:10" ht="13.5" customHeight="1">
      <c r="A289" s="77" t="s">
        <v>2007</v>
      </c>
      <c r="B289" s="708" t="s">
        <v>2008</v>
      </c>
      <c r="C289" s="709"/>
      <c r="D289" s="709"/>
      <c r="E289" s="709"/>
      <c r="F289" s="709"/>
      <c r="G289" s="709"/>
      <c r="H289" s="709"/>
      <c r="I289" s="709"/>
      <c r="J289" s="710"/>
    </row>
    <row r="290" spans="1:10" ht="13.5" customHeight="1">
      <c r="A290" s="77" t="s">
        <v>2009</v>
      </c>
      <c r="B290" s="708" t="s">
        <v>2010</v>
      </c>
      <c r="C290" s="709"/>
      <c r="D290" s="709"/>
      <c r="E290" s="709"/>
      <c r="F290" s="709"/>
      <c r="G290" s="709"/>
      <c r="H290" s="709"/>
      <c r="I290" s="709"/>
      <c r="J290" s="710"/>
    </row>
    <row r="291" spans="1:10" ht="13.5" customHeight="1">
      <c r="A291" s="77" t="s">
        <v>2011</v>
      </c>
      <c r="B291" s="708" t="s">
        <v>2012</v>
      </c>
      <c r="C291" s="709"/>
      <c r="D291" s="709"/>
      <c r="E291" s="709"/>
      <c r="F291" s="709"/>
      <c r="G291" s="709"/>
      <c r="H291" s="709"/>
      <c r="I291" s="709"/>
      <c r="J291" s="710"/>
    </row>
    <row r="292" spans="1:10" ht="13.5" customHeight="1">
      <c r="A292" s="77" t="s">
        <v>2013</v>
      </c>
      <c r="B292" s="708" t="s">
        <v>2014</v>
      </c>
      <c r="C292" s="709"/>
      <c r="D292" s="709"/>
      <c r="E292" s="709"/>
      <c r="F292" s="709"/>
      <c r="G292" s="709"/>
      <c r="H292" s="709"/>
      <c r="I292" s="709"/>
      <c r="J292" s="710"/>
    </row>
    <row r="293" spans="1:10" ht="13.5" customHeight="1">
      <c r="A293" s="77" t="s">
        <v>2015</v>
      </c>
      <c r="B293" s="708" t="s">
        <v>2016</v>
      </c>
      <c r="C293" s="709"/>
      <c r="D293" s="709"/>
      <c r="E293" s="709"/>
      <c r="F293" s="709"/>
      <c r="G293" s="709"/>
      <c r="H293" s="709"/>
      <c r="I293" s="709"/>
      <c r="J293" s="710"/>
    </row>
    <row r="294" spans="1:10" ht="13.5" customHeight="1">
      <c r="A294" s="77" t="s">
        <v>2017</v>
      </c>
      <c r="B294" s="708" t="s">
        <v>2018</v>
      </c>
      <c r="C294" s="709"/>
      <c r="D294" s="709"/>
      <c r="E294" s="709"/>
      <c r="F294" s="709"/>
      <c r="G294" s="709"/>
      <c r="H294" s="709"/>
      <c r="I294" s="709"/>
      <c r="J294" s="710"/>
    </row>
    <row r="295" spans="1:10" ht="13.5" customHeight="1">
      <c r="A295" s="77" t="s">
        <v>2019</v>
      </c>
      <c r="B295" s="708" t="s">
        <v>2020</v>
      </c>
      <c r="C295" s="709"/>
      <c r="D295" s="709"/>
      <c r="E295" s="709"/>
      <c r="F295" s="709"/>
      <c r="G295" s="709"/>
      <c r="H295" s="709"/>
      <c r="I295" s="709"/>
      <c r="J295" s="710"/>
    </row>
    <row r="296" spans="1:10" ht="13.5" customHeight="1">
      <c r="A296" s="77" t="s">
        <v>2021</v>
      </c>
      <c r="B296" s="708" t="s">
        <v>2022</v>
      </c>
      <c r="C296" s="709"/>
      <c r="D296" s="709"/>
      <c r="E296" s="709"/>
      <c r="F296" s="709"/>
      <c r="G296" s="709"/>
      <c r="H296" s="709"/>
      <c r="I296" s="709"/>
      <c r="J296" s="710"/>
    </row>
    <row r="297" spans="1:10" ht="13.5" customHeight="1">
      <c r="A297" s="77" t="s">
        <v>2023</v>
      </c>
      <c r="B297" s="708" t="s">
        <v>2024</v>
      </c>
      <c r="C297" s="709"/>
      <c r="D297" s="709"/>
      <c r="E297" s="709"/>
      <c r="F297" s="709"/>
      <c r="G297" s="709"/>
      <c r="H297" s="709"/>
      <c r="I297" s="709"/>
      <c r="J297" s="710"/>
    </row>
    <row r="298" spans="1:10" ht="13.5" customHeight="1">
      <c r="A298" s="77" t="s">
        <v>1729</v>
      </c>
      <c r="B298" s="708" t="s">
        <v>1730</v>
      </c>
      <c r="C298" s="709"/>
      <c r="D298" s="709"/>
      <c r="E298" s="709"/>
      <c r="F298" s="709"/>
      <c r="G298" s="709"/>
      <c r="H298" s="709"/>
      <c r="I298" s="709"/>
      <c r="J298" s="710"/>
    </row>
    <row r="299" spans="1:10" ht="13.5" customHeight="1">
      <c r="A299" s="77" t="s">
        <v>1731</v>
      </c>
      <c r="B299" s="708" t="s">
        <v>1732</v>
      </c>
      <c r="C299" s="709"/>
      <c r="D299" s="709"/>
      <c r="E299" s="709"/>
      <c r="F299" s="709"/>
      <c r="G299" s="709"/>
      <c r="H299" s="709"/>
      <c r="I299" s="709"/>
      <c r="J299" s="710"/>
    </row>
    <row r="300" spans="1:10" ht="13.5" customHeight="1">
      <c r="A300" s="77" t="s">
        <v>1733</v>
      </c>
      <c r="B300" s="708" t="s">
        <v>1734</v>
      </c>
      <c r="C300" s="709"/>
      <c r="D300" s="709"/>
      <c r="E300" s="709"/>
      <c r="F300" s="709"/>
      <c r="G300" s="709"/>
      <c r="H300" s="709"/>
      <c r="I300" s="709"/>
      <c r="J300" s="710"/>
    </row>
    <row r="301" spans="1:10" ht="13.5" customHeight="1">
      <c r="A301" s="77" t="s">
        <v>1735</v>
      </c>
      <c r="B301" s="708" t="s">
        <v>1736</v>
      </c>
      <c r="C301" s="709"/>
      <c r="D301" s="709"/>
      <c r="E301" s="709"/>
      <c r="F301" s="709"/>
      <c r="G301" s="709"/>
      <c r="H301" s="709"/>
      <c r="I301" s="709"/>
      <c r="J301" s="710"/>
    </row>
    <row r="302" spans="1:10" ht="13.5" customHeight="1">
      <c r="A302" s="77" t="s">
        <v>1737</v>
      </c>
      <c r="B302" s="708" t="s">
        <v>1738</v>
      </c>
      <c r="C302" s="709"/>
      <c r="D302" s="709"/>
      <c r="E302" s="709"/>
      <c r="F302" s="709"/>
      <c r="G302" s="709"/>
      <c r="H302" s="709"/>
      <c r="I302" s="709"/>
      <c r="J302" s="710"/>
    </row>
    <row r="303" spans="1:10" ht="13.5" customHeight="1">
      <c r="A303" s="77" t="s">
        <v>1739</v>
      </c>
      <c r="B303" s="708" t="s">
        <v>1740</v>
      </c>
      <c r="C303" s="709"/>
      <c r="D303" s="709"/>
      <c r="E303" s="709"/>
      <c r="F303" s="709"/>
      <c r="G303" s="709"/>
      <c r="H303" s="709"/>
      <c r="I303" s="709"/>
      <c r="J303" s="710"/>
    </row>
    <row r="304" spans="1:10" ht="13.5" customHeight="1">
      <c r="A304" s="77" t="s">
        <v>1741</v>
      </c>
      <c r="B304" s="708" t="s">
        <v>1742</v>
      </c>
      <c r="C304" s="709"/>
      <c r="D304" s="709"/>
      <c r="E304" s="709"/>
      <c r="F304" s="709"/>
      <c r="G304" s="709"/>
      <c r="H304" s="709"/>
      <c r="I304" s="709"/>
      <c r="J304" s="710"/>
    </row>
    <row r="305" spans="1:10" ht="13.5" customHeight="1">
      <c r="A305" s="77" t="s">
        <v>1743</v>
      </c>
      <c r="B305" s="708" t="s">
        <v>1744</v>
      </c>
      <c r="C305" s="709"/>
      <c r="D305" s="709"/>
      <c r="E305" s="709"/>
      <c r="F305" s="709"/>
      <c r="G305" s="709"/>
      <c r="H305" s="709"/>
      <c r="I305" s="709"/>
      <c r="J305" s="710"/>
    </row>
    <row r="306" spans="1:10" ht="13.5" customHeight="1">
      <c r="A306" s="77" t="s">
        <v>1745</v>
      </c>
      <c r="B306" s="708" t="s">
        <v>1746</v>
      </c>
      <c r="C306" s="709"/>
      <c r="D306" s="709"/>
      <c r="E306" s="709"/>
      <c r="F306" s="709"/>
      <c r="G306" s="709"/>
      <c r="H306" s="709"/>
      <c r="I306" s="709"/>
      <c r="J306" s="710"/>
    </row>
    <row r="307" spans="1:10" ht="13.5" customHeight="1">
      <c r="A307" s="77" t="s">
        <v>1747</v>
      </c>
      <c r="B307" s="708" t="s">
        <v>1748</v>
      </c>
      <c r="C307" s="709"/>
      <c r="D307" s="709"/>
      <c r="E307" s="709"/>
      <c r="F307" s="709"/>
      <c r="G307" s="709"/>
      <c r="H307" s="709"/>
      <c r="I307" s="709"/>
      <c r="J307" s="710"/>
    </row>
    <row r="308" spans="1:10" ht="13.5" customHeight="1">
      <c r="A308" s="77" t="s">
        <v>1749</v>
      </c>
      <c r="B308" s="708" t="s">
        <v>1750</v>
      </c>
      <c r="C308" s="709"/>
      <c r="D308" s="709"/>
      <c r="E308" s="709"/>
      <c r="F308" s="709"/>
      <c r="G308" s="709"/>
      <c r="H308" s="709"/>
      <c r="I308" s="709"/>
      <c r="J308" s="710"/>
    </row>
    <row r="309" spans="1:10" ht="13.5" customHeight="1">
      <c r="A309" s="77" t="s">
        <v>1751</v>
      </c>
      <c r="B309" s="708" t="s">
        <v>1752</v>
      </c>
      <c r="C309" s="709"/>
      <c r="D309" s="709"/>
      <c r="E309" s="709"/>
      <c r="F309" s="709"/>
      <c r="G309" s="709"/>
      <c r="H309" s="709"/>
      <c r="I309" s="709"/>
      <c r="J309" s="710"/>
    </row>
    <row r="310" spans="1:10" ht="13.5" customHeight="1">
      <c r="A310" s="77" t="s">
        <v>1753</v>
      </c>
      <c r="B310" s="708" t="s">
        <v>1754</v>
      </c>
      <c r="C310" s="709"/>
      <c r="D310" s="709"/>
      <c r="E310" s="709"/>
      <c r="F310" s="709"/>
      <c r="G310" s="709"/>
      <c r="H310" s="709"/>
      <c r="I310" s="709"/>
      <c r="J310" s="710"/>
    </row>
    <row r="311" spans="1:10" ht="13.5" customHeight="1">
      <c r="A311" s="77" t="s">
        <v>1755</v>
      </c>
      <c r="B311" s="708" t="s">
        <v>2253</v>
      </c>
      <c r="C311" s="709"/>
      <c r="D311" s="709"/>
      <c r="E311" s="709"/>
      <c r="F311" s="709"/>
      <c r="G311" s="709"/>
      <c r="H311" s="709"/>
      <c r="I311" s="709"/>
      <c r="J311" s="710"/>
    </row>
    <row r="312" spans="1:10" ht="13.5" customHeight="1">
      <c r="A312" s="77" t="s">
        <v>2254</v>
      </c>
      <c r="B312" s="708" t="s">
        <v>2255</v>
      </c>
      <c r="C312" s="709"/>
      <c r="D312" s="709"/>
      <c r="E312" s="709"/>
      <c r="F312" s="709"/>
      <c r="G312" s="709"/>
      <c r="H312" s="709"/>
      <c r="I312" s="709"/>
      <c r="J312" s="710"/>
    </row>
    <row r="313" spans="1:10" ht="13.5" customHeight="1">
      <c r="A313" s="77" t="s">
        <v>2256</v>
      </c>
      <c r="B313" s="708" t="s">
        <v>1418</v>
      </c>
      <c r="C313" s="709"/>
      <c r="D313" s="709"/>
      <c r="E313" s="709"/>
      <c r="F313" s="709"/>
      <c r="G313" s="709"/>
      <c r="H313" s="709"/>
      <c r="I313" s="709"/>
      <c r="J313" s="710"/>
    </row>
    <row r="314" spans="1:10" ht="13.5" customHeight="1">
      <c r="A314" s="77" t="s">
        <v>1419</v>
      </c>
      <c r="B314" s="708" t="s">
        <v>1420</v>
      </c>
      <c r="C314" s="709"/>
      <c r="D314" s="709"/>
      <c r="E314" s="709"/>
      <c r="F314" s="709"/>
      <c r="G314" s="709"/>
      <c r="H314" s="709"/>
      <c r="I314" s="709"/>
      <c r="J314" s="710"/>
    </row>
    <row r="315" spans="1:10" ht="13.5" customHeight="1">
      <c r="A315" s="77" t="s">
        <v>1421</v>
      </c>
      <c r="B315" s="708" t="s">
        <v>1487</v>
      </c>
      <c r="C315" s="709"/>
      <c r="D315" s="709"/>
      <c r="E315" s="709"/>
      <c r="F315" s="709"/>
      <c r="G315" s="709"/>
      <c r="H315" s="709"/>
      <c r="I315" s="709"/>
      <c r="J315" s="710"/>
    </row>
    <row r="316" spans="1:10" ht="13.5" customHeight="1">
      <c r="A316" s="77" t="s">
        <v>1488</v>
      </c>
      <c r="B316" s="708" t="s">
        <v>1489</v>
      </c>
      <c r="C316" s="709"/>
      <c r="D316" s="709"/>
      <c r="E316" s="709"/>
      <c r="F316" s="709"/>
      <c r="G316" s="709"/>
      <c r="H316" s="709"/>
      <c r="I316" s="709"/>
      <c r="J316" s="710"/>
    </row>
    <row r="317" spans="1:10" ht="13.5" customHeight="1">
      <c r="A317" s="77" t="s">
        <v>1490</v>
      </c>
      <c r="B317" s="708" t="s">
        <v>1491</v>
      </c>
      <c r="C317" s="709"/>
      <c r="D317" s="709"/>
      <c r="E317" s="709"/>
      <c r="F317" s="709"/>
      <c r="G317" s="709"/>
      <c r="H317" s="709"/>
      <c r="I317" s="709"/>
      <c r="J317" s="710"/>
    </row>
    <row r="318" spans="1:10" ht="13.5" customHeight="1">
      <c r="A318" s="77" t="s">
        <v>1492</v>
      </c>
      <c r="B318" s="708" t="s">
        <v>1493</v>
      </c>
      <c r="C318" s="709"/>
      <c r="D318" s="709"/>
      <c r="E318" s="709"/>
      <c r="F318" s="709"/>
      <c r="G318" s="709"/>
      <c r="H318" s="709"/>
      <c r="I318" s="709"/>
      <c r="J318" s="710"/>
    </row>
    <row r="319" spans="1:10" ht="13.5" customHeight="1">
      <c r="A319" s="77" t="s">
        <v>1494</v>
      </c>
      <c r="B319" s="708" t="s">
        <v>1495</v>
      </c>
      <c r="C319" s="709"/>
      <c r="D319" s="709"/>
      <c r="E319" s="709"/>
      <c r="F319" s="709"/>
      <c r="G319" s="709"/>
      <c r="H319" s="709"/>
      <c r="I319" s="709"/>
      <c r="J319" s="710"/>
    </row>
    <row r="320" spans="1:10" ht="13.5" customHeight="1">
      <c r="A320" s="77" t="s">
        <v>1496</v>
      </c>
      <c r="B320" s="708" t="s">
        <v>1497</v>
      </c>
      <c r="C320" s="709"/>
      <c r="D320" s="709"/>
      <c r="E320" s="709"/>
      <c r="F320" s="709"/>
      <c r="G320" s="709"/>
      <c r="H320" s="709"/>
      <c r="I320" s="709"/>
      <c r="J320" s="710"/>
    </row>
    <row r="321" spans="1:10" ht="13.5" customHeight="1">
      <c r="A321" s="77" t="s">
        <v>1498</v>
      </c>
      <c r="B321" s="708" t="s">
        <v>1499</v>
      </c>
      <c r="C321" s="709"/>
      <c r="D321" s="709"/>
      <c r="E321" s="709"/>
      <c r="F321" s="709"/>
      <c r="G321" s="709"/>
      <c r="H321" s="709"/>
      <c r="I321" s="709"/>
      <c r="J321" s="710"/>
    </row>
    <row r="322" spans="1:10" ht="13.5" customHeight="1">
      <c r="A322" s="77" t="s">
        <v>1500</v>
      </c>
      <c r="B322" s="708" t="s">
        <v>1501</v>
      </c>
      <c r="C322" s="709"/>
      <c r="D322" s="709"/>
      <c r="E322" s="709"/>
      <c r="F322" s="709"/>
      <c r="G322" s="709"/>
      <c r="H322" s="709"/>
      <c r="I322" s="709"/>
      <c r="J322" s="710"/>
    </row>
    <row r="323" spans="1:10" ht="13.5" customHeight="1">
      <c r="A323" s="77" t="s">
        <v>1502</v>
      </c>
      <c r="B323" s="708" t="s">
        <v>1503</v>
      </c>
      <c r="C323" s="709"/>
      <c r="D323" s="709"/>
      <c r="E323" s="709"/>
      <c r="F323" s="709"/>
      <c r="G323" s="709"/>
      <c r="H323" s="709"/>
      <c r="I323" s="709"/>
      <c r="J323" s="710"/>
    </row>
    <row r="324" spans="1:10" ht="13.5" customHeight="1">
      <c r="A324" s="77" t="s">
        <v>1504</v>
      </c>
      <c r="B324" s="708" t="s">
        <v>1505</v>
      </c>
      <c r="C324" s="709"/>
      <c r="D324" s="709"/>
      <c r="E324" s="709"/>
      <c r="F324" s="709"/>
      <c r="G324" s="709"/>
      <c r="H324" s="709"/>
      <c r="I324" s="709"/>
      <c r="J324" s="710"/>
    </row>
    <row r="325" spans="1:10" ht="13.5" customHeight="1">
      <c r="A325" s="77" t="s">
        <v>1506</v>
      </c>
      <c r="B325" s="708" t="s">
        <v>1507</v>
      </c>
      <c r="C325" s="709"/>
      <c r="D325" s="709"/>
      <c r="E325" s="709"/>
      <c r="F325" s="709"/>
      <c r="G325" s="709"/>
      <c r="H325" s="709"/>
      <c r="I325" s="709"/>
      <c r="J325" s="710"/>
    </row>
    <row r="326" spans="1:10" ht="13.5" customHeight="1">
      <c r="A326" s="77" t="s">
        <v>1508</v>
      </c>
      <c r="B326" s="708" t="s">
        <v>1509</v>
      </c>
      <c r="C326" s="709"/>
      <c r="D326" s="709"/>
      <c r="E326" s="709"/>
      <c r="F326" s="709"/>
      <c r="G326" s="709"/>
      <c r="H326" s="709"/>
      <c r="I326" s="709"/>
      <c r="J326" s="710"/>
    </row>
    <row r="327" spans="1:10" ht="13.5" customHeight="1">
      <c r="A327" s="77" t="s">
        <v>1510</v>
      </c>
      <c r="B327" s="708" t="s">
        <v>1511</v>
      </c>
      <c r="C327" s="709"/>
      <c r="D327" s="709"/>
      <c r="E327" s="709"/>
      <c r="F327" s="709"/>
      <c r="G327" s="709"/>
      <c r="H327" s="709"/>
      <c r="I327" s="709"/>
      <c r="J327" s="710"/>
    </row>
    <row r="328" spans="1:10" ht="13.5" customHeight="1">
      <c r="A328" s="77" t="s">
        <v>1512</v>
      </c>
      <c r="B328" s="708" t="s">
        <v>1513</v>
      </c>
      <c r="C328" s="709"/>
      <c r="D328" s="709"/>
      <c r="E328" s="709"/>
      <c r="F328" s="709"/>
      <c r="G328" s="709"/>
      <c r="H328" s="709"/>
      <c r="I328" s="709"/>
      <c r="J328" s="710"/>
    </row>
    <row r="329" spans="1:10" ht="13.5" customHeight="1">
      <c r="A329" s="77" t="s">
        <v>1514</v>
      </c>
      <c r="B329" s="708" t="s">
        <v>2308</v>
      </c>
      <c r="C329" s="709"/>
      <c r="D329" s="709"/>
      <c r="E329" s="709"/>
      <c r="F329" s="709"/>
      <c r="G329" s="709"/>
      <c r="H329" s="709"/>
      <c r="I329" s="709"/>
      <c r="J329" s="710"/>
    </row>
    <row r="330" spans="1:10" ht="13.5" customHeight="1">
      <c r="A330" s="77" t="s">
        <v>2309</v>
      </c>
      <c r="B330" s="708" t="s">
        <v>2310</v>
      </c>
      <c r="C330" s="709"/>
      <c r="D330" s="709"/>
      <c r="E330" s="709"/>
      <c r="F330" s="709"/>
      <c r="G330" s="709"/>
      <c r="H330" s="709"/>
      <c r="I330" s="709"/>
      <c r="J330" s="710"/>
    </row>
    <row r="331" spans="1:10" ht="13.5" customHeight="1">
      <c r="A331" s="77" t="s">
        <v>2311</v>
      </c>
      <c r="B331" s="708" t="s">
        <v>279</v>
      </c>
      <c r="C331" s="709"/>
      <c r="D331" s="709"/>
      <c r="E331" s="709"/>
      <c r="F331" s="709"/>
      <c r="G331" s="709"/>
      <c r="H331" s="709"/>
      <c r="I331" s="709"/>
      <c r="J331" s="710"/>
    </row>
    <row r="332" spans="1:10" ht="13.5" customHeight="1">
      <c r="A332" s="77" t="s">
        <v>280</v>
      </c>
      <c r="B332" s="708" t="s">
        <v>281</v>
      </c>
      <c r="C332" s="709"/>
      <c r="D332" s="709"/>
      <c r="E332" s="709"/>
      <c r="F332" s="709"/>
      <c r="G332" s="709"/>
      <c r="H332" s="709"/>
      <c r="I332" s="709"/>
      <c r="J332" s="710"/>
    </row>
    <row r="333" spans="1:10" ht="13.5" customHeight="1">
      <c r="A333" s="77" t="s">
        <v>282</v>
      </c>
      <c r="B333" s="708" t="s">
        <v>283</v>
      </c>
      <c r="C333" s="709"/>
      <c r="D333" s="709"/>
      <c r="E333" s="709"/>
      <c r="F333" s="709"/>
      <c r="G333" s="709"/>
      <c r="H333" s="709"/>
      <c r="I333" s="709"/>
      <c r="J333" s="710"/>
    </row>
    <row r="334" spans="1:10" ht="13.5" customHeight="1">
      <c r="A334" s="77" t="s">
        <v>284</v>
      </c>
      <c r="B334" s="708" t="s">
        <v>285</v>
      </c>
      <c r="C334" s="709"/>
      <c r="D334" s="709"/>
      <c r="E334" s="709"/>
      <c r="F334" s="709"/>
      <c r="G334" s="709"/>
      <c r="H334" s="709"/>
      <c r="I334" s="709"/>
      <c r="J334" s="710"/>
    </row>
    <row r="335" spans="1:10" ht="13.5" customHeight="1">
      <c r="A335" s="77" t="s">
        <v>286</v>
      </c>
      <c r="B335" s="708" t="s">
        <v>287</v>
      </c>
      <c r="C335" s="709"/>
      <c r="D335" s="709"/>
      <c r="E335" s="709"/>
      <c r="F335" s="709"/>
      <c r="G335" s="709"/>
      <c r="H335" s="709"/>
      <c r="I335" s="709"/>
      <c r="J335" s="710"/>
    </row>
    <row r="336" spans="1:10" ht="13.5" customHeight="1">
      <c r="A336" s="77" t="s">
        <v>288</v>
      </c>
      <c r="B336" s="708" t="s">
        <v>289</v>
      </c>
      <c r="C336" s="709"/>
      <c r="D336" s="709"/>
      <c r="E336" s="709"/>
      <c r="F336" s="709"/>
      <c r="G336" s="709"/>
      <c r="H336" s="709"/>
      <c r="I336" s="709"/>
      <c r="J336" s="710"/>
    </row>
    <row r="337" spans="1:10" ht="13.5" customHeight="1">
      <c r="A337" s="77" t="s">
        <v>290</v>
      </c>
      <c r="B337" s="708" t="s">
        <v>291</v>
      </c>
      <c r="C337" s="709"/>
      <c r="D337" s="709"/>
      <c r="E337" s="709"/>
      <c r="F337" s="709"/>
      <c r="G337" s="709"/>
      <c r="H337" s="709"/>
      <c r="I337" s="709"/>
      <c r="J337" s="710"/>
    </row>
    <row r="338" spans="1:10" ht="13.5" customHeight="1">
      <c r="A338" s="77" t="s">
        <v>292</v>
      </c>
      <c r="B338" s="708" t="s">
        <v>293</v>
      </c>
      <c r="C338" s="709"/>
      <c r="D338" s="709"/>
      <c r="E338" s="709"/>
      <c r="F338" s="709"/>
      <c r="G338" s="709"/>
      <c r="H338" s="709"/>
      <c r="I338" s="709"/>
      <c r="J338" s="710"/>
    </row>
    <row r="339" spans="1:10" ht="13.5" customHeight="1">
      <c r="A339" s="77" t="s">
        <v>294</v>
      </c>
      <c r="B339" s="708" t="s">
        <v>295</v>
      </c>
      <c r="C339" s="709"/>
      <c r="D339" s="709"/>
      <c r="E339" s="709"/>
      <c r="F339" s="709"/>
      <c r="G339" s="709"/>
      <c r="H339" s="709"/>
      <c r="I339" s="709"/>
      <c r="J339" s="710"/>
    </row>
    <row r="340" spans="1:10" ht="13.5" customHeight="1">
      <c r="A340" s="77" t="s">
        <v>296</v>
      </c>
      <c r="B340" s="708" t="s">
        <v>297</v>
      </c>
      <c r="C340" s="709"/>
      <c r="D340" s="709"/>
      <c r="E340" s="709"/>
      <c r="F340" s="709"/>
      <c r="G340" s="709"/>
      <c r="H340" s="709"/>
      <c r="I340" s="709"/>
      <c r="J340" s="710"/>
    </row>
    <row r="341" spans="1:10" ht="13.5" customHeight="1">
      <c r="A341" s="77" t="s">
        <v>298</v>
      </c>
      <c r="B341" s="708" t="s">
        <v>299</v>
      </c>
      <c r="C341" s="709"/>
      <c r="D341" s="709"/>
      <c r="E341" s="709"/>
      <c r="F341" s="709"/>
      <c r="G341" s="709"/>
      <c r="H341" s="709"/>
      <c r="I341" s="709"/>
      <c r="J341" s="710"/>
    </row>
    <row r="342" spans="1:10" ht="13.5" customHeight="1">
      <c r="A342" s="77" t="s">
        <v>300</v>
      </c>
      <c r="B342" s="708" t="s">
        <v>301</v>
      </c>
      <c r="C342" s="709"/>
      <c r="D342" s="709"/>
      <c r="E342" s="709"/>
      <c r="F342" s="709"/>
      <c r="G342" s="709"/>
      <c r="H342" s="709"/>
      <c r="I342" s="709"/>
      <c r="J342" s="710"/>
    </row>
    <row r="343" spans="1:10" ht="13.5" customHeight="1">
      <c r="A343" s="77" t="s">
        <v>302</v>
      </c>
      <c r="B343" s="708" t="s">
        <v>303</v>
      </c>
      <c r="C343" s="709"/>
      <c r="D343" s="709"/>
      <c r="E343" s="709"/>
      <c r="F343" s="709"/>
      <c r="G343" s="709"/>
      <c r="H343" s="709"/>
      <c r="I343" s="709"/>
      <c r="J343" s="710"/>
    </row>
    <row r="344" spans="1:10" ht="13.5" customHeight="1">
      <c r="A344" s="77" t="s">
        <v>304</v>
      </c>
      <c r="B344" s="708" t="s">
        <v>2126</v>
      </c>
      <c r="C344" s="709"/>
      <c r="D344" s="709"/>
      <c r="E344" s="709"/>
      <c r="F344" s="709"/>
      <c r="G344" s="709"/>
      <c r="H344" s="709"/>
      <c r="I344" s="709"/>
      <c r="J344" s="710"/>
    </row>
    <row r="345" spans="1:10" ht="13.5" customHeight="1">
      <c r="A345" s="77" t="s">
        <v>2127</v>
      </c>
      <c r="B345" s="708" t="s">
        <v>2128</v>
      </c>
      <c r="C345" s="709"/>
      <c r="D345" s="709"/>
      <c r="E345" s="709"/>
      <c r="F345" s="709"/>
      <c r="G345" s="709"/>
      <c r="H345" s="709"/>
      <c r="I345" s="709"/>
      <c r="J345" s="710"/>
    </row>
    <row r="346" spans="1:10" ht="13.5" customHeight="1">
      <c r="A346" s="77" t="s">
        <v>2129</v>
      </c>
      <c r="B346" s="708" t="s">
        <v>2130</v>
      </c>
      <c r="C346" s="709"/>
      <c r="D346" s="709"/>
      <c r="E346" s="709"/>
      <c r="F346" s="709"/>
      <c r="G346" s="709"/>
      <c r="H346" s="709"/>
      <c r="I346" s="709"/>
      <c r="J346" s="710"/>
    </row>
    <row r="347" spans="1:10" ht="13.5" customHeight="1">
      <c r="A347" s="77" t="s">
        <v>2131</v>
      </c>
      <c r="B347" s="708" t="s">
        <v>2132</v>
      </c>
      <c r="C347" s="709"/>
      <c r="D347" s="709"/>
      <c r="E347" s="709"/>
      <c r="F347" s="709"/>
      <c r="G347" s="709"/>
      <c r="H347" s="709"/>
      <c r="I347" s="709"/>
      <c r="J347" s="710"/>
    </row>
    <row r="348" spans="1:10" ht="13.5" customHeight="1">
      <c r="A348" s="77" t="s">
        <v>2133</v>
      </c>
      <c r="B348" s="708" t="s">
        <v>2134</v>
      </c>
      <c r="C348" s="709"/>
      <c r="D348" s="709"/>
      <c r="E348" s="709"/>
      <c r="F348" s="709"/>
      <c r="G348" s="709"/>
      <c r="H348" s="709"/>
      <c r="I348" s="709"/>
      <c r="J348" s="710"/>
    </row>
    <row r="349" spans="1:10" ht="13.5" customHeight="1">
      <c r="A349" s="77" t="s">
        <v>2135</v>
      </c>
      <c r="B349" s="708" t="s">
        <v>2136</v>
      </c>
      <c r="C349" s="709"/>
      <c r="D349" s="709"/>
      <c r="E349" s="709"/>
      <c r="F349" s="709"/>
      <c r="G349" s="709"/>
      <c r="H349" s="709"/>
      <c r="I349" s="709"/>
      <c r="J349" s="710"/>
    </row>
    <row r="350" spans="1:10" ht="13.5" customHeight="1">
      <c r="A350" s="77" t="s">
        <v>2299</v>
      </c>
      <c r="B350" s="708" t="s">
        <v>2300</v>
      </c>
      <c r="C350" s="709"/>
      <c r="D350" s="709"/>
      <c r="E350" s="709"/>
      <c r="F350" s="709"/>
      <c r="G350" s="709"/>
      <c r="H350" s="709"/>
      <c r="I350" s="709"/>
      <c r="J350" s="710"/>
    </row>
    <row r="351" spans="1:10" ht="13.5" customHeight="1">
      <c r="A351" s="77" t="s">
        <v>2301</v>
      </c>
      <c r="B351" s="708" t="s">
        <v>2302</v>
      </c>
      <c r="C351" s="709"/>
      <c r="D351" s="709"/>
      <c r="E351" s="709"/>
      <c r="F351" s="709"/>
      <c r="G351" s="709"/>
      <c r="H351" s="709"/>
      <c r="I351" s="709"/>
      <c r="J351" s="710"/>
    </row>
    <row r="352" spans="1:10" ht="13.5" customHeight="1">
      <c r="A352" s="77" t="s">
        <v>2303</v>
      </c>
      <c r="B352" s="708" t="s">
        <v>2304</v>
      </c>
      <c r="C352" s="709"/>
      <c r="D352" s="709"/>
      <c r="E352" s="709"/>
      <c r="F352" s="709"/>
      <c r="G352" s="709"/>
      <c r="H352" s="709"/>
      <c r="I352" s="709"/>
      <c r="J352" s="710"/>
    </row>
    <row r="353" spans="1:10" ht="13.5" customHeight="1">
      <c r="A353" s="77" t="s">
        <v>2305</v>
      </c>
      <c r="B353" s="708" t="s">
        <v>2306</v>
      </c>
      <c r="C353" s="709"/>
      <c r="D353" s="709"/>
      <c r="E353" s="709"/>
      <c r="F353" s="709"/>
      <c r="G353" s="709"/>
      <c r="H353" s="709"/>
      <c r="I353" s="709"/>
      <c r="J353" s="710"/>
    </row>
    <row r="354" spans="1:10" ht="13.5" customHeight="1">
      <c r="A354" s="77" t="s">
        <v>2307</v>
      </c>
      <c r="B354" s="708" t="s">
        <v>192</v>
      </c>
      <c r="C354" s="709"/>
      <c r="D354" s="709"/>
      <c r="E354" s="709"/>
      <c r="F354" s="709"/>
      <c r="G354" s="709"/>
      <c r="H354" s="709"/>
      <c r="I354" s="709"/>
      <c r="J354" s="710"/>
    </row>
    <row r="355" spans="1:10" ht="13.5" customHeight="1">
      <c r="A355" s="77" t="s">
        <v>193</v>
      </c>
      <c r="B355" s="708" t="s">
        <v>194</v>
      </c>
      <c r="C355" s="709"/>
      <c r="D355" s="709"/>
      <c r="E355" s="709"/>
      <c r="F355" s="709"/>
      <c r="G355" s="709"/>
      <c r="H355" s="709"/>
      <c r="I355" s="709"/>
      <c r="J355" s="710"/>
    </row>
    <row r="356" spans="1:10" ht="13.5" customHeight="1">
      <c r="A356" s="77" t="s">
        <v>195</v>
      </c>
      <c r="B356" s="708" t="s">
        <v>196</v>
      </c>
      <c r="C356" s="709"/>
      <c r="D356" s="709"/>
      <c r="E356" s="709"/>
      <c r="F356" s="709"/>
      <c r="G356" s="709"/>
      <c r="H356" s="709"/>
      <c r="I356" s="709"/>
      <c r="J356" s="710"/>
    </row>
    <row r="357" spans="1:10" ht="13.5" customHeight="1">
      <c r="A357" s="77" t="s">
        <v>197</v>
      </c>
      <c r="B357" s="708" t="s">
        <v>198</v>
      </c>
      <c r="C357" s="709"/>
      <c r="D357" s="709"/>
      <c r="E357" s="709"/>
      <c r="F357" s="709"/>
      <c r="G357" s="709"/>
      <c r="H357" s="709"/>
      <c r="I357" s="709"/>
      <c r="J357" s="710"/>
    </row>
    <row r="358" spans="1:10" ht="13.5" customHeight="1">
      <c r="A358" s="77" t="s">
        <v>199</v>
      </c>
      <c r="B358" s="708" t="s">
        <v>200</v>
      </c>
      <c r="C358" s="709"/>
      <c r="D358" s="709"/>
      <c r="E358" s="709"/>
      <c r="F358" s="709"/>
      <c r="G358" s="709"/>
      <c r="H358" s="709"/>
      <c r="I358" s="709"/>
      <c r="J358" s="710"/>
    </row>
    <row r="359" spans="1:10" ht="13.5" customHeight="1">
      <c r="A359" s="77" t="s">
        <v>201</v>
      </c>
      <c r="B359" s="708" t="s">
        <v>202</v>
      </c>
      <c r="C359" s="709"/>
      <c r="D359" s="709"/>
      <c r="E359" s="709"/>
      <c r="F359" s="709"/>
      <c r="G359" s="709"/>
      <c r="H359" s="709"/>
      <c r="I359" s="709"/>
      <c r="J359" s="710"/>
    </row>
    <row r="360" spans="1:10" ht="13.5" customHeight="1">
      <c r="A360" s="77" t="s">
        <v>203</v>
      </c>
      <c r="B360" s="708" t="s">
        <v>204</v>
      </c>
      <c r="C360" s="709"/>
      <c r="D360" s="709"/>
      <c r="E360" s="709"/>
      <c r="F360" s="709"/>
      <c r="G360" s="709"/>
      <c r="H360" s="709"/>
      <c r="I360" s="709"/>
      <c r="J360" s="710"/>
    </row>
    <row r="361" spans="1:10" ht="13.5" customHeight="1">
      <c r="A361" s="77" t="s">
        <v>205</v>
      </c>
      <c r="B361" s="708" t="s">
        <v>206</v>
      </c>
      <c r="C361" s="709"/>
      <c r="D361" s="709"/>
      <c r="E361" s="709"/>
      <c r="F361" s="709"/>
      <c r="G361" s="709"/>
      <c r="H361" s="709"/>
      <c r="I361" s="709"/>
      <c r="J361" s="710"/>
    </row>
    <row r="362" spans="1:10" ht="13.5" customHeight="1">
      <c r="A362" s="77" t="s">
        <v>1957</v>
      </c>
      <c r="B362" s="708" t="s">
        <v>1958</v>
      </c>
      <c r="C362" s="709"/>
      <c r="D362" s="709"/>
      <c r="E362" s="709"/>
      <c r="F362" s="709"/>
      <c r="G362" s="709"/>
      <c r="H362" s="709"/>
      <c r="I362" s="709"/>
      <c r="J362" s="710"/>
    </row>
    <row r="363" spans="1:10" ht="13.5" customHeight="1">
      <c r="A363" s="77" t="s">
        <v>1959</v>
      </c>
      <c r="B363" s="708" t="s">
        <v>1960</v>
      </c>
      <c r="C363" s="709"/>
      <c r="D363" s="709"/>
      <c r="E363" s="709"/>
      <c r="F363" s="709"/>
      <c r="G363" s="709"/>
      <c r="H363" s="709"/>
      <c r="I363" s="709"/>
      <c r="J363" s="710"/>
    </row>
    <row r="364" spans="1:10" ht="13.5" customHeight="1">
      <c r="A364" s="77" t="s">
        <v>1961</v>
      </c>
      <c r="B364" s="708" t="s">
        <v>1962</v>
      </c>
      <c r="C364" s="709"/>
      <c r="D364" s="709"/>
      <c r="E364" s="709"/>
      <c r="F364" s="709"/>
      <c r="G364" s="709"/>
      <c r="H364" s="709"/>
      <c r="I364" s="709"/>
      <c r="J364" s="710"/>
    </row>
    <row r="365" spans="1:10" ht="13.5" customHeight="1">
      <c r="A365" s="77" t="s">
        <v>1963</v>
      </c>
      <c r="B365" s="708" t="s">
        <v>1964</v>
      </c>
      <c r="C365" s="709"/>
      <c r="D365" s="709"/>
      <c r="E365" s="709"/>
      <c r="F365" s="709"/>
      <c r="G365" s="709"/>
      <c r="H365" s="709"/>
      <c r="I365" s="709"/>
      <c r="J365" s="710"/>
    </row>
    <row r="366" spans="1:10" ht="13.5" customHeight="1">
      <c r="A366" s="77" t="s">
        <v>1965</v>
      </c>
      <c r="B366" s="708" t="s">
        <v>1966</v>
      </c>
      <c r="C366" s="709"/>
      <c r="D366" s="709"/>
      <c r="E366" s="709"/>
      <c r="F366" s="709"/>
      <c r="G366" s="709"/>
      <c r="H366" s="709"/>
      <c r="I366" s="709"/>
      <c r="J366" s="710"/>
    </row>
    <row r="367" spans="1:10" ht="13.5" customHeight="1">
      <c r="A367" s="77" t="s">
        <v>1967</v>
      </c>
      <c r="B367" s="708" t="s">
        <v>1199</v>
      </c>
      <c r="C367" s="709"/>
      <c r="D367" s="709"/>
      <c r="E367" s="709"/>
      <c r="F367" s="709"/>
      <c r="G367" s="709"/>
      <c r="H367" s="709"/>
      <c r="I367" s="709"/>
      <c r="J367" s="710"/>
    </row>
    <row r="368" spans="1:10" ht="13.5" customHeight="1">
      <c r="A368" s="77" t="s">
        <v>1200</v>
      </c>
      <c r="B368" s="708" t="s">
        <v>489</v>
      </c>
      <c r="C368" s="709"/>
      <c r="D368" s="709"/>
      <c r="E368" s="709"/>
      <c r="F368" s="709"/>
      <c r="G368" s="709"/>
      <c r="H368" s="709"/>
      <c r="I368" s="709"/>
      <c r="J368" s="710"/>
    </row>
    <row r="369" spans="1:10" ht="13.5" customHeight="1">
      <c r="A369" s="77" t="s">
        <v>490</v>
      </c>
      <c r="B369" s="708" t="s">
        <v>491</v>
      </c>
      <c r="C369" s="709"/>
      <c r="D369" s="709"/>
      <c r="E369" s="709"/>
      <c r="F369" s="709"/>
      <c r="G369" s="709"/>
      <c r="H369" s="709"/>
      <c r="I369" s="709"/>
      <c r="J369" s="710"/>
    </row>
    <row r="370" spans="1:10" ht="13.5" customHeight="1">
      <c r="A370" s="77" t="s">
        <v>492</v>
      </c>
      <c r="B370" s="708" t="s">
        <v>493</v>
      </c>
      <c r="C370" s="709"/>
      <c r="D370" s="709"/>
      <c r="E370" s="709"/>
      <c r="F370" s="709"/>
      <c r="G370" s="709"/>
      <c r="H370" s="709"/>
      <c r="I370" s="709"/>
      <c r="J370" s="710"/>
    </row>
    <row r="371" spans="1:10" ht="13.5" customHeight="1">
      <c r="A371" s="77" t="s">
        <v>494</v>
      </c>
      <c r="B371" s="708" t="s">
        <v>495</v>
      </c>
      <c r="C371" s="709"/>
      <c r="D371" s="709"/>
      <c r="E371" s="709"/>
      <c r="F371" s="709"/>
      <c r="G371" s="709"/>
      <c r="H371" s="709"/>
      <c r="I371" s="709"/>
      <c r="J371" s="710"/>
    </row>
    <row r="372" spans="1:10" ht="13.5" customHeight="1">
      <c r="A372" s="77" t="s">
        <v>496</v>
      </c>
      <c r="B372" s="708" t="s">
        <v>497</v>
      </c>
      <c r="C372" s="709"/>
      <c r="D372" s="709"/>
      <c r="E372" s="709"/>
      <c r="F372" s="709"/>
      <c r="G372" s="709"/>
      <c r="H372" s="709"/>
      <c r="I372" s="709"/>
      <c r="J372" s="710"/>
    </row>
    <row r="373" spans="1:10" ht="13.5" customHeight="1">
      <c r="A373" s="77" t="s">
        <v>498</v>
      </c>
      <c r="B373" s="708" t="s">
        <v>499</v>
      </c>
      <c r="C373" s="709"/>
      <c r="D373" s="709"/>
      <c r="E373" s="709"/>
      <c r="F373" s="709"/>
      <c r="G373" s="709"/>
      <c r="H373" s="709"/>
      <c r="I373" s="709"/>
      <c r="J373" s="710"/>
    </row>
    <row r="374" spans="1:10" ht="13.5" customHeight="1">
      <c r="A374" s="77" t="s">
        <v>500</v>
      </c>
      <c r="B374" s="708" t="s">
        <v>501</v>
      </c>
      <c r="C374" s="709"/>
      <c r="D374" s="709"/>
      <c r="E374" s="709"/>
      <c r="F374" s="709"/>
      <c r="G374" s="709"/>
      <c r="H374" s="709"/>
      <c r="I374" s="709"/>
      <c r="J374" s="710"/>
    </row>
    <row r="375" spans="1:10" ht="13.5" customHeight="1">
      <c r="A375" s="77" t="s">
        <v>502</v>
      </c>
      <c r="B375" s="708" t="s">
        <v>503</v>
      </c>
      <c r="C375" s="709"/>
      <c r="D375" s="709"/>
      <c r="E375" s="709"/>
      <c r="F375" s="709"/>
      <c r="G375" s="709"/>
      <c r="H375" s="709"/>
      <c r="I375" s="709"/>
      <c r="J375" s="710"/>
    </row>
    <row r="376" spans="1:10" ht="13.5" customHeight="1">
      <c r="A376" s="77" t="s">
        <v>504</v>
      </c>
      <c r="B376" s="708" t="s">
        <v>505</v>
      </c>
      <c r="C376" s="709"/>
      <c r="D376" s="709"/>
      <c r="E376" s="709"/>
      <c r="F376" s="709"/>
      <c r="G376" s="709"/>
      <c r="H376" s="709"/>
      <c r="I376" s="709"/>
      <c r="J376" s="710"/>
    </row>
    <row r="377" spans="1:10" ht="13.5" customHeight="1">
      <c r="A377" s="77" t="s">
        <v>506</v>
      </c>
      <c r="B377" s="708" t="s">
        <v>507</v>
      </c>
      <c r="C377" s="709"/>
      <c r="D377" s="709"/>
      <c r="E377" s="709"/>
      <c r="F377" s="709"/>
      <c r="G377" s="709"/>
      <c r="H377" s="709"/>
      <c r="I377" s="709"/>
      <c r="J377" s="710"/>
    </row>
    <row r="378" spans="1:10" ht="13.5" customHeight="1">
      <c r="A378" s="77" t="s">
        <v>508</v>
      </c>
      <c r="B378" s="708" t="s">
        <v>509</v>
      </c>
      <c r="C378" s="709"/>
      <c r="D378" s="709"/>
      <c r="E378" s="709"/>
      <c r="F378" s="709"/>
      <c r="G378" s="709"/>
      <c r="H378" s="709"/>
      <c r="I378" s="709"/>
      <c r="J378" s="710"/>
    </row>
    <row r="379" spans="1:10" ht="13.5" customHeight="1">
      <c r="A379" s="77" t="s">
        <v>510</v>
      </c>
      <c r="B379" s="708" t="s">
        <v>511</v>
      </c>
      <c r="C379" s="709"/>
      <c r="D379" s="709"/>
      <c r="E379" s="709"/>
      <c r="F379" s="709"/>
      <c r="G379" s="709"/>
      <c r="H379" s="709"/>
      <c r="I379" s="709"/>
      <c r="J379" s="710"/>
    </row>
    <row r="380" spans="1:10" ht="13.5" customHeight="1">
      <c r="A380" s="77" t="s">
        <v>512</v>
      </c>
      <c r="B380" s="708" t="s">
        <v>513</v>
      </c>
      <c r="C380" s="709"/>
      <c r="D380" s="709"/>
      <c r="E380" s="709"/>
      <c r="F380" s="709"/>
      <c r="G380" s="709"/>
      <c r="H380" s="709"/>
      <c r="I380" s="709"/>
      <c r="J380" s="710"/>
    </row>
    <row r="381" spans="1:10" ht="13.5" customHeight="1">
      <c r="A381" s="77" t="s">
        <v>514</v>
      </c>
      <c r="B381" s="708" t="s">
        <v>1306</v>
      </c>
      <c r="C381" s="709"/>
      <c r="D381" s="709"/>
      <c r="E381" s="709"/>
      <c r="F381" s="709"/>
      <c r="G381" s="709"/>
      <c r="H381" s="709"/>
      <c r="I381" s="709"/>
      <c r="J381" s="710"/>
    </row>
    <row r="382" spans="1:10" ht="13.5" customHeight="1">
      <c r="A382" s="77" t="s">
        <v>1307</v>
      </c>
      <c r="B382" s="708" t="s">
        <v>1308</v>
      </c>
      <c r="C382" s="709"/>
      <c r="D382" s="709"/>
      <c r="E382" s="709"/>
      <c r="F382" s="709"/>
      <c r="G382" s="709"/>
      <c r="H382" s="709"/>
      <c r="I382" s="709"/>
      <c r="J382" s="710"/>
    </row>
    <row r="383" spans="1:10" ht="13.5" customHeight="1">
      <c r="A383" s="77" t="s">
        <v>1309</v>
      </c>
      <c r="B383" s="708" t="s">
        <v>1310</v>
      </c>
      <c r="C383" s="709"/>
      <c r="D383" s="709"/>
      <c r="E383" s="709"/>
      <c r="F383" s="709"/>
      <c r="G383" s="709"/>
      <c r="H383" s="709"/>
      <c r="I383" s="709"/>
      <c r="J383" s="710"/>
    </row>
    <row r="384" spans="1:10" ht="13.5" customHeight="1">
      <c r="A384" s="77" t="s">
        <v>1311</v>
      </c>
      <c r="B384" s="708" t="s">
        <v>1312</v>
      </c>
      <c r="C384" s="709"/>
      <c r="D384" s="709"/>
      <c r="E384" s="709"/>
      <c r="F384" s="709"/>
      <c r="G384" s="709"/>
      <c r="H384" s="709"/>
      <c r="I384" s="709"/>
      <c r="J384" s="710"/>
    </row>
    <row r="385" spans="1:10" ht="13.5" customHeight="1">
      <c r="A385" s="77" t="s">
        <v>1313</v>
      </c>
      <c r="B385" s="708" t="s">
        <v>942</v>
      </c>
      <c r="C385" s="709"/>
      <c r="D385" s="709"/>
      <c r="E385" s="709"/>
      <c r="F385" s="709"/>
      <c r="G385" s="709"/>
      <c r="H385" s="709"/>
      <c r="I385" s="709"/>
      <c r="J385" s="710"/>
    </row>
    <row r="386" spans="1:10" ht="13.5" customHeight="1">
      <c r="A386" s="77" t="s">
        <v>943</v>
      </c>
      <c r="B386" s="708" t="s">
        <v>944</v>
      </c>
      <c r="C386" s="709"/>
      <c r="D386" s="709"/>
      <c r="E386" s="709"/>
      <c r="F386" s="709"/>
      <c r="G386" s="709"/>
      <c r="H386" s="709"/>
      <c r="I386" s="709"/>
      <c r="J386" s="710"/>
    </row>
    <row r="387" spans="1:10" ht="13.5" customHeight="1">
      <c r="A387" s="77" t="s">
        <v>945</v>
      </c>
      <c r="B387" s="708" t="s">
        <v>1696</v>
      </c>
      <c r="C387" s="709"/>
      <c r="D387" s="709"/>
      <c r="E387" s="709"/>
      <c r="F387" s="709"/>
      <c r="G387" s="709"/>
      <c r="H387" s="709"/>
      <c r="I387" s="709"/>
      <c r="J387" s="710"/>
    </row>
    <row r="388" spans="1:10" ht="13.5" customHeight="1">
      <c r="A388" s="77" t="s">
        <v>1697</v>
      </c>
      <c r="B388" s="708" t="s">
        <v>1698</v>
      </c>
      <c r="C388" s="709"/>
      <c r="D388" s="709"/>
      <c r="E388" s="709"/>
      <c r="F388" s="709"/>
      <c r="G388" s="709"/>
      <c r="H388" s="709"/>
      <c r="I388" s="709"/>
      <c r="J388" s="710"/>
    </row>
    <row r="389" spans="1:10" ht="13.5" customHeight="1">
      <c r="A389" s="77" t="s">
        <v>1699</v>
      </c>
      <c r="B389" s="708" t="s">
        <v>1700</v>
      </c>
      <c r="C389" s="709"/>
      <c r="D389" s="709"/>
      <c r="E389" s="709"/>
      <c r="F389" s="709"/>
      <c r="G389" s="709"/>
      <c r="H389" s="709"/>
      <c r="I389" s="709"/>
      <c r="J389" s="710"/>
    </row>
    <row r="390" spans="1:10" ht="13.5" customHeight="1">
      <c r="A390" s="77" t="s">
        <v>1701</v>
      </c>
      <c r="B390" s="708" t="s">
        <v>1702</v>
      </c>
      <c r="C390" s="709"/>
      <c r="D390" s="709"/>
      <c r="E390" s="709"/>
      <c r="F390" s="709"/>
      <c r="G390" s="709"/>
      <c r="H390" s="709"/>
      <c r="I390" s="709"/>
      <c r="J390" s="710"/>
    </row>
    <row r="391" spans="1:10" ht="13.5" customHeight="1">
      <c r="A391" s="77" t="s">
        <v>1703</v>
      </c>
      <c r="B391" s="708" t="s">
        <v>1704</v>
      </c>
      <c r="C391" s="709"/>
      <c r="D391" s="709"/>
      <c r="E391" s="709"/>
      <c r="F391" s="709"/>
      <c r="G391" s="709"/>
      <c r="H391" s="709"/>
      <c r="I391" s="709"/>
      <c r="J391" s="710"/>
    </row>
    <row r="392" spans="1:10" ht="13.5" customHeight="1">
      <c r="A392" s="77" t="s">
        <v>1705</v>
      </c>
      <c r="B392" s="708" t="s">
        <v>173</v>
      </c>
      <c r="C392" s="709"/>
      <c r="D392" s="709"/>
      <c r="E392" s="709"/>
      <c r="F392" s="709"/>
      <c r="G392" s="709"/>
      <c r="H392" s="709"/>
      <c r="I392" s="709"/>
      <c r="J392" s="710"/>
    </row>
    <row r="393" spans="1:10" ht="13.5" customHeight="1">
      <c r="A393" s="77" t="s">
        <v>174</v>
      </c>
      <c r="B393" s="708" t="s">
        <v>175</v>
      </c>
      <c r="C393" s="709"/>
      <c r="D393" s="709"/>
      <c r="E393" s="709"/>
      <c r="F393" s="709"/>
      <c r="G393" s="709"/>
      <c r="H393" s="709"/>
      <c r="I393" s="709"/>
      <c r="J393" s="710"/>
    </row>
    <row r="394" spans="1:10" ht="13.5" customHeight="1">
      <c r="A394" s="77" t="s">
        <v>176</v>
      </c>
      <c r="B394" s="708" t="s">
        <v>177</v>
      </c>
      <c r="C394" s="709"/>
      <c r="D394" s="709"/>
      <c r="E394" s="709"/>
      <c r="F394" s="709"/>
      <c r="G394" s="709"/>
      <c r="H394" s="709"/>
      <c r="I394" s="709"/>
      <c r="J394" s="710"/>
    </row>
    <row r="395" spans="1:10" ht="13.5" customHeight="1">
      <c r="A395" s="77" t="s">
        <v>178</v>
      </c>
      <c r="B395" s="708" t="s">
        <v>179</v>
      </c>
      <c r="C395" s="709"/>
      <c r="D395" s="709"/>
      <c r="E395" s="709"/>
      <c r="F395" s="709"/>
      <c r="G395" s="709"/>
      <c r="H395" s="709"/>
      <c r="I395" s="709"/>
      <c r="J395" s="710"/>
    </row>
    <row r="396" spans="1:10" ht="13.5" customHeight="1">
      <c r="A396" s="77" t="s">
        <v>180</v>
      </c>
      <c r="B396" s="708" t="s">
        <v>181</v>
      </c>
      <c r="C396" s="709"/>
      <c r="D396" s="709"/>
      <c r="E396" s="709"/>
      <c r="F396" s="709"/>
      <c r="G396" s="709"/>
      <c r="H396" s="709"/>
      <c r="I396" s="709"/>
      <c r="J396" s="710"/>
    </row>
    <row r="397" spans="1:10" ht="13.5" customHeight="1">
      <c r="A397" s="77" t="s">
        <v>182</v>
      </c>
      <c r="B397" s="708" t="s">
        <v>2601</v>
      </c>
      <c r="C397" s="709"/>
      <c r="D397" s="709"/>
      <c r="E397" s="709"/>
      <c r="F397" s="709"/>
      <c r="G397" s="709"/>
      <c r="H397" s="709"/>
      <c r="I397" s="709"/>
      <c r="J397" s="710"/>
    </row>
    <row r="398" spans="1:10" ht="13.5" customHeight="1">
      <c r="A398" s="77" t="s">
        <v>2602</v>
      </c>
      <c r="B398" s="708" t="s">
        <v>250</v>
      </c>
      <c r="C398" s="709"/>
      <c r="D398" s="709"/>
      <c r="E398" s="709"/>
      <c r="F398" s="709"/>
      <c r="G398" s="709"/>
      <c r="H398" s="709"/>
      <c r="I398" s="709"/>
      <c r="J398" s="710"/>
    </row>
    <row r="399" spans="1:10" ht="25.5" customHeight="1">
      <c r="A399" s="77" t="s">
        <v>251</v>
      </c>
      <c r="B399" s="708" t="s">
        <v>252</v>
      </c>
      <c r="C399" s="709"/>
      <c r="D399" s="709"/>
      <c r="E399" s="709"/>
      <c r="F399" s="709"/>
      <c r="G399" s="709"/>
      <c r="H399" s="709"/>
      <c r="I399" s="709"/>
      <c r="J399" s="710"/>
    </row>
    <row r="400" spans="1:10" ht="13.5" customHeight="1">
      <c r="A400" s="77" t="s">
        <v>253</v>
      </c>
      <c r="B400" s="708" t="s">
        <v>254</v>
      </c>
      <c r="C400" s="709"/>
      <c r="D400" s="709"/>
      <c r="E400" s="709"/>
      <c r="F400" s="709"/>
      <c r="G400" s="709"/>
      <c r="H400" s="709"/>
      <c r="I400" s="709"/>
      <c r="J400" s="710"/>
    </row>
    <row r="401" spans="1:10" ht="13.5" customHeight="1">
      <c r="A401" s="77" t="s">
        <v>255</v>
      </c>
      <c r="B401" s="708" t="s">
        <v>229</v>
      </c>
      <c r="C401" s="709"/>
      <c r="D401" s="709"/>
      <c r="E401" s="709"/>
      <c r="F401" s="709"/>
      <c r="G401" s="709"/>
      <c r="H401" s="709"/>
      <c r="I401" s="709"/>
      <c r="J401" s="710"/>
    </row>
    <row r="402" spans="1:10" ht="13.5" customHeight="1">
      <c r="A402" s="77" t="s">
        <v>230</v>
      </c>
      <c r="B402" s="708" t="s">
        <v>231</v>
      </c>
      <c r="C402" s="709"/>
      <c r="D402" s="709"/>
      <c r="E402" s="709"/>
      <c r="F402" s="709"/>
      <c r="G402" s="709"/>
      <c r="H402" s="709"/>
      <c r="I402" s="709"/>
      <c r="J402" s="710"/>
    </row>
    <row r="403" spans="1:10" ht="13.5" customHeight="1">
      <c r="A403" s="77" t="s">
        <v>232</v>
      </c>
      <c r="B403" s="708" t="s">
        <v>164</v>
      </c>
      <c r="C403" s="709"/>
      <c r="D403" s="709"/>
      <c r="E403" s="709"/>
      <c r="F403" s="709"/>
      <c r="G403" s="709"/>
      <c r="H403" s="709"/>
      <c r="I403" s="709"/>
      <c r="J403" s="710"/>
    </row>
    <row r="404" spans="1:10" ht="13.5" customHeight="1">
      <c r="A404" s="77" t="s">
        <v>165</v>
      </c>
      <c r="B404" s="708" t="s">
        <v>309</v>
      </c>
      <c r="C404" s="709"/>
      <c r="D404" s="709"/>
      <c r="E404" s="709"/>
      <c r="F404" s="709"/>
      <c r="G404" s="709"/>
      <c r="H404" s="709"/>
      <c r="I404" s="709"/>
      <c r="J404" s="710"/>
    </row>
    <row r="405" spans="1:10" ht="13.5" customHeight="1">
      <c r="A405" s="77" t="s">
        <v>310</v>
      </c>
      <c r="B405" s="708" t="s">
        <v>311</v>
      </c>
      <c r="C405" s="709"/>
      <c r="D405" s="709"/>
      <c r="E405" s="709"/>
      <c r="F405" s="709"/>
      <c r="G405" s="709"/>
      <c r="H405" s="709"/>
      <c r="I405" s="709"/>
      <c r="J405" s="710"/>
    </row>
    <row r="406" spans="1:10" ht="13.5" customHeight="1">
      <c r="A406" s="77" t="s">
        <v>312</v>
      </c>
      <c r="B406" s="708" t="s">
        <v>313</v>
      </c>
      <c r="C406" s="709"/>
      <c r="D406" s="709"/>
      <c r="E406" s="709"/>
      <c r="F406" s="709"/>
      <c r="G406" s="709"/>
      <c r="H406" s="709"/>
      <c r="I406" s="709"/>
      <c r="J406" s="710"/>
    </row>
    <row r="407" spans="1:10" ht="13.5" customHeight="1">
      <c r="A407" s="77" t="s">
        <v>314</v>
      </c>
      <c r="B407" s="708" t="s">
        <v>315</v>
      </c>
      <c r="C407" s="709"/>
      <c r="D407" s="709"/>
      <c r="E407" s="709"/>
      <c r="F407" s="709"/>
      <c r="G407" s="709"/>
      <c r="H407" s="709"/>
      <c r="I407" s="709"/>
      <c r="J407" s="710"/>
    </row>
    <row r="408" spans="1:10" ht="13.5" customHeight="1">
      <c r="A408" s="77" t="s">
        <v>316</v>
      </c>
      <c r="B408" s="708" t="s">
        <v>1000</v>
      </c>
      <c r="C408" s="709"/>
      <c r="D408" s="709"/>
      <c r="E408" s="709"/>
      <c r="F408" s="709"/>
      <c r="G408" s="709"/>
      <c r="H408" s="709"/>
      <c r="I408" s="709"/>
      <c r="J408" s="710"/>
    </row>
    <row r="409" spans="1:10" ht="13.5" customHeight="1">
      <c r="A409" s="77" t="s">
        <v>1001</v>
      </c>
      <c r="B409" s="708" t="s">
        <v>1002</v>
      </c>
      <c r="C409" s="709"/>
      <c r="D409" s="709"/>
      <c r="E409" s="709"/>
      <c r="F409" s="709"/>
      <c r="G409" s="709"/>
      <c r="H409" s="709"/>
      <c r="I409" s="709"/>
      <c r="J409" s="710"/>
    </row>
    <row r="410" spans="1:10" ht="25.5" customHeight="1">
      <c r="A410" s="77" t="s">
        <v>1003</v>
      </c>
      <c r="B410" s="708" t="s">
        <v>145</v>
      </c>
      <c r="C410" s="709"/>
      <c r="D410" s="709"/>
      <c r="E410" s="709"/>
      <c r="F410" s="709"/>
      <c r="G410" s="709"/>
      <c r="H410" s="709"/>
      <c r="I410" s="709"/>
      <c r="J410" s="710"/>
    </row>
    <row r="411" spans="1:10" ht="13.5" customHeight="1">
      <c r="A411" s="77" t="s">
        <v>146</v>
      </c>
      <c r="B411" s="708" t="s">
        <v>147</v>
      </c>
      <c r="C411" s="709"/>
      <c r="D411" s="709"/>
      <c r="E411" s="709"/>
      <c r="F411" s="709"/>
      <c r="G411" s="709"/>
      <c r="H411" s="709"/>
      <c r="I411" s="709"/>
      <c r="J411" s="710"/>
    </row>
    <row r="412" spans="1:10" ht="13.5" customHeight="1">
      <c r="A412" s="77" t="s">
        <v>148</v>
      </c>
      <c r="B412" s="708" t="s">
        <v>149</v>
      </c>
      <c r="C412" s="709"/>
      <c r="D412" s="709"/>
      <c r="E412" s="709"/>
      <c r="F412" s="709"/>
      <c r="G412" s="709"/>
      <c r="H412" s="709"/>
      <c r="I412" s="709"/>
      <c r="J412" s="710"/>
    </row>
    <row r="413" spans="1:10" ht="13.5" customHeight="1">
      <c r="A413" s="77" t="s">
        <v>150</v>
      </c>
      <c r="B413" s="708" t="s">
        <v>151</v>
      </c>
      <c r="C413" s="709"/>
      <c r="D413" s="709"/>
      <c r="E413" s="709"/>
      <c r="F413" s="709"/>
      <c r="G413" s="709"/>
      <c r="H413" s="709"/>
      <c r="I413" s="709"/>
      <c r="J413" s="710"/>
    </row>
    <row r="414" spans="1:10" ht="13.5" customHeight="1">
      <c r="A414" s="77" t="s">
        <v>152</v>
      </c>
      <c r="B414" s="708" t="s">
        <v>153</v>
      </c>
      <c r="C414" s="709"/>
      <c r="D414" s="709"/>
      <c r="E414" s="709"/>
      <c r="F414" s="709"/>
      <c r="G414" s="709"/>
      <c r="H414" s="709"/>
      <c r="I414" s="709"/>
      <c r="J414" s="710"/>
    </row>
    <row r="415" spans="1:10" ht="13.5" customHeight="1">
      <c r="A415" s="77" t="s">
        <v>154</v>
      </c>
      <c r="B415" s="708" t="s">
        <v>1108</v>
      </c>
      <c r="C415" s="709"/>
      <c r="D415" s="709"/>
      <c r="E415" s="709"/>
      <c r="F415" s="709"/>
      <c r="G415" s="709"/>
      <c r="H415" s="709"/>
      <c r="I415" s="709"/>
      <c r="J415" s="710"/>
    </row>
    <row r="416" spans="1:10" ht="13.5" customHeight="1">
      <c r="A416" s="77" t="s">
        <v>2519</v>
      </c>
      <c r="B416" s="708" t="s">
        <v>2520</v>
      </c>
      <c r="C416" s="709"/>
      <c r="D416" s="709"/>
      <c r="E416" s="709"/>
      <c r="F416" s="709"/>
      <c r="G416" s="709"/>
      <c r="H416" s="709"/>
      <c r="I416" s="709"/>
      <c r="J416" s="710"/>
    </row>
    <row r="417" spans="1:10" ht="13.5" customHeight="1">
      <c r="A417" s="77" t="s">
        <v>2521</v>
      </c>
      <c r="B417" s="708" t="s">
        <v>2522</v>
      </c>
      <c r="C417" s="709"/>
      <c r="D417" s="709"/>
      <c r="E417" s="709"/>
      <c r="F417" s="709"/>
      <c r="G417" s="709"/>
      <c r="H417" s="709"/>
      <c r="I417" s="709"/>
      <c r="J417" s="710"/>
    </row>
    <row r="418" spans="1:10" ht="13.5" customHeight="1">
      <c r="A418" s="77" t="s">
        <v>2523</v>
      </c>
      <c r="B418" s="708" t="s">
        <v>2524</v>
      </c>
      <c r="C418" s="709"/>
      <c r="D418" s="709"/>
      <c r="E418" s="709"/>
      <c r="F418" s="709"/>
      <c r="G418" s="709"/>
      <c r="H418" s="709"/>
      <c r="I418" s="709"/>
      <c r="J418" s="710"/>
    </row>
    <row r="419" spans="1:10" ht="13.5" customHeight="1">
      <c r="A419" s="77" t="s">
        <v>2525</v>
      </c>
      <c r="B419" s="708" t="s">
        <v>2526</v>
      </c>
      <c r="C419" s="709"/>
      <c r="D419" s="709"/>
      <c r="E419" s="709"/>
      <c r="F419" s="709"/>
      <c r="G419" s="709"/>
      <c r="H419" s="709"/>
      <c r="I419" s="709"/>
      <c r="J419" s="710"/>
    </row>
    <row r="420" spans="1:10" ht="13.5" customHeight="1">
      <c r="A420" s="77" t="s">
        <v>2527</v>
      </c>
      <c r="B420" s="708" t="s">
        <v>2528</v>
      </c>
      <c r="C420" s="709"/>
      <c r="D420" s="709"/>
      <c r="E420" s="709"/>
      <c r="F420" s="709"/>
      <c r="G420" s="709"/>
      <c r="H420" s="709"/>
      <c r="I420" s="709"/>
      <c r="J420" s="710"/>
    </row>
    <row r="421" spans="1:10" ht="13.5" customHeight="1">
      <c r="A421" s="77" t="s">
        <v>2529</v>
      </c>
      <c r="B421" s="708" t="s">
        <v>1437</v>
      </c>
      <c r="C421" s="709"/>
      <c r="D421" s="709"/>
      <c r="E421" s="709"/>
      <c r="F421" s="709"/>
      <c r="G421" s="709"/>
      <c r="H421" s="709"/>
      <c r="I421" s="709"/>
      <c r="J421" s="710"/>
    </row>
    <row r="422" spans="1:10" ht="13.5" customHeight="1">
      <c r="A422" s="77" t="s">
        <v>1438</v>
      </c>
      <c r="B422" s="708" t="s">
        <v>1439</v>
      </c>
      <c r="C422" s="709"/>
      <c r="D422" s="709"/>
      <c r="E422" s="709"/>
      <c r="F422" s="709"/>
      <c r="G422" s="709"/>
      <c r="H422" s="709"/>
      <c r="I422" s="709"/>
      <c r="J422" s="710"/>
    </row>
    <row r="423" spans="1:10" ht="13.5" customHeight="1">
      <c r="A423" s="77" t="s">
        <v>1440</v>
      </c>
      <c r="B423" s="708" t="s">
        <v>1441</v>
      </c>
      <c r="C423" s="709"/>
      <c r="D423" s="709"/>
      <c r="E423" s="709"/>
      <c r="F423" s="709"/>
      <c r="G423" s="709"/>
      <c r="H423" s="709"/>
      <c r="I423" s="709"/>
      <c r="J423" s="710"/>
    </row>
    <row r="424" spans="1:10" ht="13.5" customHeight="1">
      <c r="A424" s="77" t="s">
        <v>1442</v>
      </c>
      <c r="B424" s="708" t="s">
        <v>1443</v>
      </c>
      <c r="C424" s="709"/>
      <c r="D424" s="709"/>
      <c r="E424" s="709"/>
      <c r="F424" s="709"/>
      <c r="G424" s="709"/>
      <c r="H424" s="709"/>
      <c r="I424" s="709"/>
      <c r="J424" s="710"/>
    </row>
    <row r="425" spans="1:10" ht="13.5" customHeight="1">
      <c r="A425" s="77" t="s">
        <v>1444</v>
      </c>
      <c r="B425" s="708" t="s">
        <v>1445</v>
      </c>
      <c r="C425" s="709"/>
      <c r="D425" s="709"/>
      <c r="E425" s="709"/>
      <c r="F425" s="709"/>
      <c r="G425" s="709"/>
      <c r="H425" s="709"/>
      <c r="I425" s="709"/>
      <c r="J425" s="710"/>
    </row>
    <row r="426" spans="1:10" ht="13.5" customHeight="1">
      <c r="A426" s="77" t="s">
        <v>1446</v>
      </c>
      <c r="B426" s="708" t="s">
        <v>1447</v>
      </c>
      <c r="C426" s="709"/>
      <c r="D426" s="709"/>
      <c r="E426" s="709"/>
      <c r="F426" s="709"/>
      <c r="G426" s="709"/>
      <c r="H426" s="709"/>
      <c r="I426" s="709"/>
      <c r="J426" s="710"/>
    </row>
    <row r="427" spans="1:10" ht="13.5" customHeight="1">
      <c r="A427" s="77" t="s">
        <v>1448</v>
      </c>
      <c r="B427" s="708" t="s">
        <v>1449</v>
      </c>
      <c r="C427" s="709"/>
      <c r="D427" s="709"/>
      <c r="E427" s="709"/>
      <c r="F427" s="709"/>
      <c r="G427" s="709"/>
      <c r="H427" s="709"/>
      <c r="I427" s="709"/>
      <c r="J427" s="710"/>
    </row>
    <row r="428" spans="1:10" ht="13.5" customHeight="1">
      <c r="A428" s="77" t="s">
        <v>1450</v>
      </c>
      <c r="B428" s="708" t="s">
        <v>1451</v>
      </c>
      <c r="C428" s="709"/>
      <c r="D428" s="709"/>
      <c r="E428" s="709"/>
      <c r="F428" s="709"/>
      <c r="G428" s="709"/>
      <c r="H428" s="709"/>
      <c r="I428" s="709"/>
      <c r="J428" s="710"/>
    </row>
    <row r="429" spans="1:10" ht="13.5" customHeight="1">
      <c r="A429" s="77" t="s">
        <v>1452</v>
      </c>
      <c r="B429" s="708" t="s">
        <v>1453</v>
      </c>
      <c r="C429" s="709"/>
      <c r="D429" s="709"/>
      <c r="E429" s="709"/>
      <c r="F429" s="709"/>
      <c r="G429" s="709"/>
      <c r="H429" s="709"/>
      <c r="I429" s="709"/>
      <c r="J429" s="710"/>
    </row>
    <row r="430" spans="1:10" ht="13.5" customHeight="1">
      <c r="A430" s="77" t="s">
        <v>1454</v>
      </c>
      <c r="B430" s="708" t="s">
        <v>408</v>
      </c>
      <c r="C430" s="709"/>
      <c r="D430" s="709"/>
      <c r="E430" s="709"/>
      <c r="F430" s="709"/>
      <c r="G430" s="709"/>
      <c r="H430" s="709"/>
      <c r="I430" s="709"/>
      <c r="J430" s="710"/>
    </row>
    <row r="431" spans="1:10" ht="13.5" customHeight="1">
      <c r="A431" s="77" t="s">
        <v>409</v>
      </c>
      <c r="B431" s="708" t="s">
        <v>410</v>
      </c>
      <c r="C431" s="709"/>
      <c r="D431" s="709"/>
      <c r="E431" s="709"/>
      <c r="F431" s="709"/>
      <c r="G431" s="709"/>
      <c r="H431" s="709"/>
      <c r="I431" s="709"/>
      <c r="J431" s="710"/>
    </row>
    <row r="432" spans="1:10" ht="13.5" customHeight="1">
      <c r="A432" s="77" t="s">
        <v>411</v>
      </c>
      <c r="B432" s="708" t="s">
        <v>412</v>
      </c>
      <c r="C432" s="709"/>
      <c r="D432" s="709"/>
      <c r="E432" s="709"/>
      <c r="F432" s="709"/>
      <c r="G432" s="709"/>
      <c r="H432" s="709"/>
      <c r="I432" s="709"/>
      <c r="J432" s="710"/>
    </row>
    <row r="433" spans="1:10" ht="13.5" customHeight="1">
      <c r="A433" s="77" t="s">
        <v>413</v>
      </c>
      <c r="B433" s="708" t="s">
        <v>414</v>
      </c>
      <c r="C433" s="709"/>
      <c r="D433" s="709"/>
      <c r="E433" s="709"/>
      <c r="F433" s="709"/>
      <c r="G433" s="709"/>
      <c r="H433" s="709"/>
      <c r="I433" s="709"/>
      <c r="J433" s="710"/>
    </row>
    <row r="434" spans="1:10" ht="13.5" customHeight="1">
      <c r="A434" s="77" t="s">
        <v>415</v>
      </c>
      <c r="B434" s="708" t="s">
        <v>416</v>
      </c>
      <c r="C434" s="709"/>
      <c r="D434" s="709"/>
      <c r="E434" s="709"/>
      <c r="F434" s="709"/>
      <c r="G434" s="709"/>
      <c r="H434" s="709"/>
      <c r="I434" s="709"/>
      <c r="J434" s="710"/>
    </row>
    <row r="435" spans="1:10" ht="13.5" customHeight="1">
      <c r="A435" s="77" t="s">
        <v>417</v>
      </c>
      <c r="B435" s="708" t="s">
        <v>418</v>
      </c>
      <c r="C435" s="709"/>
      <c r="D435" s="709"/>
      <c r="E435" s="709"/>
      <c r="F435" s="709"/>
      <c r="G435" s="709"/>
      <c r="H435" s="709"/>
      <c r="I435" s="709"/>
      <c r="J435" s="710"/>
    </row>
    <row r="436" spans="1:10" ht="13.5" customHeight="1">
      <c r="A436" s="77" t="s">
        <v>419</v>
      </c>
      <c r="B436" s="708" t="s">
        <v>420</v>
      </c>
      <c r="C436" s="709"/>
      <c r="D436" s="709"/>
      <c r="E436" s="709"/>
      <c r="F436" s="709"/>
      <c r="G436" s="709"/>
      <c r="H436" s="709"/>
      <c r="I436" s="709"/>
      <c r="J436" s="710"/>
    </row>
    <row r="437" spans="1:10" ht="13.5" customHeight="1">
      <c r="A437" s="77" t="s">
        <v>421</v>
      </c>
      <c r="B437" s="708" t="s">
        <v>422</v>
      </c>
      <c r="C437" s="709"/>
      <c r="D437" s="709"/>
      <c r="E437" s="709"/>
      <c r="F437" s="709"/>
      <c r="G437" s="709"/>
      <c r="H437" s="709"/>
      <c r="I437" s="709"/>
      <c r="J437" s="710"/>
    </row>
    <row r="438" spans="1:10" ht="13.5" customHeight="1">
      <c r="A438" s="77" t="s">
        <v>423</v>
      </c>
      <c r="B438" s="708" t="s">
        <v>424</v>
      </c>
      <c r="C438" s="709"/>
      <c r="D438" s="709"/>
      <c r="E438" s="709"/>
      <c r="F438" s="709"/>
      <c r="G438" s="709"/>
      <c r="H438" s="709"/>
      <c r="I438" s="709"/>
      <c r="J438" s="710"/>
    </row>
    <row r="439" spans="1:10" ht="13.5" customHeight="1">
      <c r="A439" s="77" t="s">
        <v>425</v>
      </c>
      <c r="B439" s="708" t="s">
        <v>426</v>
      </c>
      <c r="C439" s="709"/>
      <c r="D439" s="709"/>
      <c r="E439" s="709"/>
      <c r="F439" s="709"/>
      <c r="G439" s="709"/>
      <c r="H439" s="709"/>
      <c r="I439" s="709"/>
      <c r="J439" s="710"/>
    </row>
    <row r="440" spans="1:10" ht="13.5" customHeight="1">
      <c r="A440" s="77" t="s">
        <v>427</v>
      </c>
      <c r="B440" s="708" t="s">
        <v>428</v>
      </c>
      <c r="C440" s="709"/>
      <c r="D440" s="709"/>
      <c r="E440" s="709"/>
      <c r="F440" s="709"/>
      <c r="G440" s="709"/>
      <c r="H440" s="709"/>
      <c r="I440" s="709"/>
      <c r="J440" s="710"/>
    </row>
    <row r="441" spans="1:10" ht="13.5" customHeight="1">
      <c r="A441" s="77" t="s">
        <v>429</v>
      </c>
      <c r="B441" s="708" t="s">
        <v>430</v>
      </c>
      <c r="C441" s="709"/>
      <c r="D441" s="709"/>
      <c r="E441" s="709"/>
      <c r="F441" s="709"/>
      <c r="G441" s="709"/>
      <c r="H441" s="709"/>
      <c r="I441" s="709"/>
      <c r="J441" s="710"/>
    </row>
    <row r="442" spans="1:10" ht="13.5" customHeight="1">
      <c r="A442" s="77" t="s">
        <v>431</v>
      </c>
      <c r="B442" s="708" t="s">
        <v>432</v>
      </c>
      <c r="C442" s="709"/>
      <c r="D442" s="709"/>
      <c r="E442" s="709"/>
      <c r="F442" s="709"/>
      <c r="G442" s="709"/>
      <c r="H442" s="709"/>
      <c r="I442" s="709"/>
      <c r="J442" s="710"/>
    </row>
    <row r="443" spans="1:10" ht="13.5" customHeight="1">
      <c r="A443" s="77" t="s">
        <v>433</v>
      </c>
      <c r="B443" s="708" t="s">
        <v>434</v>
      </c>
      <c r="C443" s="709"/>
      <c r="D443" s="709"/>
      <c r="E443" s="709"/>
      <c r="F443" s="709"/>
      <c r="G443" s="709"/>
      <c r="H443" s="709"/>
      <c r="I443" s="709"/>
      <c r="J443" s="710"/>
    </row>
    <row r="444" spans="1:10" ht="13.5" customHeight="1">
      <c r="A444" s="77" t="s">
        <v>435</v>
      </c>
      <c r="B444" s="708" t="s">
        <v>436</v>
      </c>
      <c r="C444" s="709"/>
      <c r="D444" s="709"/>
      <c r="E444" s="709"/>
      <c r="F444" s="709"/>
      <c r="G444" s="709"/>
      <c r="H444" s="709"/>
      <c r="I444" s="709"/>
      <c r="J444" s="710"/>
    </row>
    <row r="445" spans="1:10" ht="13.5" customHeight="1">
      <c r="A445" s="77" t="s">
        <v>437</v>
      </c>
      <c r="B445" s="708" t="s">
        <v>438</v>
      </c>
      <c r="C445" s="709"/>
      <c r="D445" s="709"/>
      <c r="E445" s="709"/>
      <c r="F445" s="709"/>
      <c r="G445" s="709"/>
      <c r="H445" s="709"/>
      <c r="I445" s="709"/>
      <c r="J445" s="710"/>
    </row>
    <row r="446" spans="1:10" ht="13.5" customHeight="1">
      <c r="A446" s="77" t="s">
        <v>439</v>
      </c>
      <c r="B446" s="708" t="s">
        <v>440</v>
      </c>
      <c r="C446" s="709"/>
      <c r="D446" s="709"/>
      <c r="E446" s="709"/>
      <c r="F446" s="709"/>
      <c r="G446" s="709"/>
      <c r="H446" s="709"/>
      <c r="I446" s="709"/>
      <c r="J446" s="710"/>
    </row>
    <row r="447" spans="1:10" ht="13.5" customHeight="1">
      <c r="A447" s="77" t="s">
        <v>441</v>
      </c>
      <c r="B447" s="708" t="s">
        <v>442</v>
      </c>
      <c r="C447" s="709"/>
      <c r="D447" s="709"/>
      <c r="E447" s="709"/>
      <c r="F447" s="709"/>
      <c r="G447" s="709"/>
      <c r="H447" s="709"/>
      <c r="I447" s="709"/>
      <c r="J447" s="710"/>
    </row>
    <row r="448" spans="1:10" ht="13.5" customHeight="1">
      <c r="A448" s="77" t="s">
        <v>443</v>
      </c>
      <c r="B448" s="708" t="s">
        <v>444</v>
      </c>
      <c r="C448" s="709"/>
      <c r="D448" s="709"/>
      <c r="E448" s="709"/>
      <c r="F448" s="709"/>
      <c r="G448" s="709"/>
      <c r="H448" s="709"/>
      <c r="I448" s="709"/>
      <c r="J448" s="710"/>
    </row>
    <row r="449" spans="1:10" ht="13.5" customHeight="1">
      <c r="A449" s="77" t="s">
        <v>445</v>
      </c>
      <c r="B449" s="708" t="s">
        <v>446</v>
      </c>
      <c r="C449" s="709"/>
      <c r="D449" s="709"/>
      <c r="E449" s="709"/>
      <c r="F449" s="709"/>
      <c r="G449" s="709"/>
      <c r="H449" s="709"/>
      <c r="I449" s="709"/>
      <c r="J449" s="710"/>
    </row>
    <row r="450" spans="1:10" ht="13.5" customHeight="1">
      <c r="A450" s="77" t="s">
        <v>447</v>
      </c>
      <c r="B450" s="708" t="s">
        <v>448</v>
      </c>
      <c r="C450" s="709"/>
      <c r="D450" s="709"/>
      <c r="E450" s="709"/>
      <c r="F450" s="709"/>
      <c r="G450" s="709"/>
      <c r="H450" s="709"/>
      <c r="I450" s="709"/>
      <c r="J450" s="710"/>
    </row>
    <row r="451" spans="1:10" ht="13.5" customHeight="1">
      <c r="A451" s="77" t="s">
        <v>449</v>
      </c>
      <c r="B451" s="708" t="s">
        <v>450</v>
      </c>
      <c r="C451" s="709"/>
      <c r="D451" s="709"/>
      <c r="E451" s="709"/>
      <c r="F451" s="709"/>
      <c r="G451" s="709"/>
      <c r="H451" s="709"/>
      <c r="I451" s="709"/>
      <c r="J451" s="710"/>
    </row>
    <row r="452" spans="1:10" ht="13.5" customHeight="1">
      <c r="A452" s="77" t="s">
        <v>451</v>
      </c>
      <c r="B452" s="708" t="s">
        <v>452</v>
      </c>
      <c r="C452" s="709"/>
      <c r="D452" s="709"/>
      <c r="E452" s="709"/>
      <c r="F452" s="709"/>
      <c r="G452" s="709"/>
      <c r="H452" s="709"/>
      <c r="I452" s="709"/>
      <c r="J452" s="710"/>
    </row>
    <row r="453" spans="1:10" ht="13.5" customHeight="1">
      <c r="A453" s="77" t="s">
        <v>453</v>
      </c>
      <c r="B453" s="708" t="s">
        <v>454</v>
      </c>
      <c r="C453" s="709"/>
      <c r="D453" s="709"/>
      <c r="E453" s="709"/>
      <c r="F453" s="709"/>
      <c r="G453" s="709"/>
      <c r="H453" s="709"/>
      <c r="I453" s="709"/>
      <c r="J453" s="710"/>
    </row>
    <row r="454" spans="1:10" ht="13.5" customHeight="1">
      <c r="A454" s="77" t="s">
        <v>455</v>
      </c>
      <c r="B454" s="708" t="s">
        <v>456</v>
      </c>
      <c r="C454" s="709"/>
      <c r="D454" s="709"/>
      <c r="E454" s="709"/>
      <c r="F454" s="709"/>
      <c r="G454" s="709"/>
      <c r="H454" s="709"/>
      <c r="I454" s="709"/>
      <c r="J454" s="710"/>
    </row>
    <row r="455" spans="1:10" ht="13.5" customHeight="1">
      <c r="A455" s="77" t="s">
        <v>457</v>
      </c>
      <c r="B455" s="708" t="s">
        <v>332</v>
      </c>
      <c r="C455" s="709"/>
      <c r="D455" s="709"/>
      <c r="E455" s="709"/>
      <c r="F455" s="709"/>
      <c r="G455" s="709"/>
      <c r="H455" s="709"/>
      <c r="I455" s="709"/>
      <c r="J455" s="710"/>
    </row>
    <row r="456" spans="1:10" ht="13.5" customHeight="1">
      <c r="A456" s="77" t="s">
        <v>333</v>
      </c>
      <c r="B456" s="708" t="s">
        <v>334</v>
      </c>
      <c r="C456" s="709"/>
      <c r="D456" s="709"/>
      <c r="E456" s="709"/>
      <c r="F456" s="709"/>
      <c r="G456" s="709"/>
      <c r="H456" s="709"/>
      <c r="I456" s="709"/>
      <c r="J456" s="710"/>
    </row>
    <row r="457" spans="1:10" ht="13.5" customHeight="1">
      <c r="A457" s="77" t="s">
        <v>335</v>
      </c>
      <c r="B457" s="708" t="s">
        <v>1436</v>
      </c>
      <c r="C457" s="709"/>
      <c r="D457" s="709"/>
      <c r="E457" s="709"/>
      <c r="F457" s="709"/>
      <c r="G457" s="709"/>
      <c r="H457" s="709"/>
      <c r="I457" s="709"/>
      <c r="J457" s="710"/>
    </row>
    <row r="458" spans="1:10" ht="13.5" customHeight="1">
      <c r="A458" s="77" t="s">
        <v>2105</v>
      </c>
      <c r="B458" s="708" t="s">
        <v>2491</v>
      </c>
      <c r="C458" s="709"/>
      <c r="D458" s="709"/>
      <c r="E458" s="709"/>
      <c r="F458" s="709"/>
      <c r="G458" s="709"/>
      <c r="H458" s="709"/>
      <c r="I458" s="709"/>
      <c r="J458" s="710"/>
    </row>
    <row r="459" spans="1:10" ht="13.5" customHeight="1">
      <c r="A459" s="77" t="s">
        <v>2492</v>
      </c>
      <c r="B459" s="708" t="s">
        <v>2493</v>
      </c>
      <c r="C459" s="709"/>
      <c r="D459" s="709"/>
      <c r="E459" s="709"/>
      <c r="F459" s="709"/>
      <c r="G459" s="709"/>
      <c r="H459" s="709"/>
      <c r="I459" s="709"/>
      <c r="J459" s="710"/>
    </row>
    <row r="460" spans="1:10" ht="13.5" customHeight="1">
      <c r="A460" s="77" t="s">
        <v>2494</v>
      </c>
      <c r="B460" s="708" t="s">
        <v>2495</v>
      </c>
      <c r="C460" s="709"/>
      <c r="D460" s="709"/>
      <c r="E460" s="709"/>
      <c r="F460" s="709"/>
      <c r="G460" s="709"/>
      <c r="H460" s="709"/>
      <c r="I460" s="709"/>
      <c r="J460" s="710"/>
    </row>
    <row r="461" spans="1:10" ht="13.5" customHeight="1">
      <c r="A461" s="77" t="s">
        <v>2496</v>
      </c>
      <c r="B461" s="708" t="s">
        <v>2497</v>
      </c>
      <c r="C461" s="709"/>
      <c r="D461" s="709"/>
      <c r="E461" s="709"/>
      <c r="F461" s="709"/>
      <c r="G461" s="709"/>
      <c r="H461" s="709"/>
      <c r="I461" s="709"/>
      <c r="J461" s="710"/>
    </row>
    <row r="462" spans="1:10" ht="13.5" customHeight="1">
      <c r="A462" s="77" t="s">
        <v>2498</v>
      </c>
      <c r="B462" s="708" t="s">
        <v>2499</v>
      </c>
      <c r="C462" s="709"/>
      <c r="D462" s="709"/>
      <c r="E462" s="709"/>
      <c r="F462" s="709"/>
      <c r="G462" s="709"/>
      <c r="H462" s="709"/>
      <c r="I462" s="709"/>
      <c r="J462" s="710"/>
    </row>
    <row r="463" spans="1:10" ht="13.5" customHeight="1">
      <c r="A463" s="77" t="s">
        <v>2500</v>
      </c>
      <c r="B463" s="708" t="s">
        <v>2501</v>
      </c>
      <c r="C463" s="709"/>
      <c r="D463" s="709"/>
      <c r="E463" s="709"/>
      <c r="F463" s="709"/>
      <c r="G463" s="709"/>
      <c r="H463" s="709"/>
      <c r="I463" s="709"/>
      <c r="J463" s="710"/>
    </row>
    <row r="464" spans="1:10" ht="13.5" customHeight="1">
      <c r="A464" s="77" t="s">
        <v>2502</v>
      </c>
      <c r="B464" s="708" t="s">
        <v>2503</v>
      </c>
      <c r="C464" s="709"/>
      <c r="D464" s="709"/>
      <c r="E464" s="709"/>
      <c r="F464" s="709"/>
      <c r="G464" s="709"/>
      <c r="H464" s="709"/>
      <c r="I464" s="709"/>
      <c r="J464" s="710"/>
    </row>
    <row r="465" spans="1:10" ht="13.5" customHeight="1">
      <c r="A465" s="77" t="s">
        <v>2504</v>
      </c>
      <c r="B465" s="708" t="s">
        <v>2505</v>
      </c>
      <c r="C465" s="709"/>
      <c r="D465" s="709"/>
      <c r="E465" s="709"/>
      <c r="F465" s="709"/>
      <c r="G465" s="709"/>
      <c r="H465" s="709"/>
      <c r="I465" s="709"/>
      <c r="J465" s="710"/>
    </row>
    <row r="466" spans="1:10" ht="13.5" customHeight="1">
      <c r="A466" s="77" t="s">
        <v>2506</v>
      </c>
      <c r="B466" s="708" t="s">
        <v>2507</v>
      </c>
      <c r="C466" s="709"/>
      <c r="D466" s="709"/>
      <c r="E466" s="709"/>
      <c r="F466" s="709"/>
      <c r="G466" s="709"/>
      <c r="H466" s="709"/>
      <c r="I466" s="709"/>
      <c r="J466" s="710"/>
    </row>
    <row r="467" spans="1:10" ht="13.5" customHeight="1">
      <c r="A467" s="77" t="s">
        <v>2508</v>
      </c>
      <c r="B467" s="708" t="s">
        <v>2509</v>
      </c>
      <c r="C467" s="709"/>
      <c r="D467" s="709"/>
      <c r="E467" s="709"/>
      <c r="F467" s="709"/>
      <c r="G467" s="709"/>
      <c r="H467" s="709"/>
      <c r="I467" s="709"/>
      <c r="J467" s="710"/>
    </row>
    <row r="468" spans="1:10" ht="13.5" customHeight="1">
      <c r="A468" s="77" t="s">
        <v>2510</v>
      </c>
      <c r="B468" s="708" t="s">
        <v>2511</v>
      </c>
      <c r="C468" s="709"/>
      <c r="D468" s="709"/>
      <c r="E468" s="709"/>
      <c r="F468" s="709"/>
      <c r="G468" s="709"/>
      <c r="H468" s="709"/>
      <c r="I468" s="709"/>
      <c r="J468" s="710"/>
    </row>
    <row r="469" spans="1:10" ht="13.5" customHeight="1">
      <c r="A469" s="77" t="s">
        <v>2512</v>
      </c>
      <c r="B469" s="708" t="s">
        <v>2513</v>
      </c>
      <c r="C469" s="709"/>
      <c r="D469" s="709"/>
      <c r="E469" s="709"/>
      <c r="F469" s="709"/>
      <c r="G469" s="709"/>
      <c r="H469" s="709"/>
      <c r="I469" s="709"/>
      <c r="J469" s="710"/>
    </row>
    <row r="470" spans="1:10" ht="13.5" customHeight="1">
      <c r="A470" s="77" t="s">
        <v>2514</v>
      </c>
      <c r="B470" s="708" t="s">
        <v>2515</v>
      </c>
      <c r="C470" s="709"/>
      <c r="D470" s="709"/>
      <c r="E470" s="709"/>
      <c r="F470" s="709"/>
      <c r="G470" s="709"/>
      <c r="H470" s="709"/>
      <c r="I470" s="709"/>
      <c r="J470" s="710"/>
    </row>
    <row r="471" spans="1:10" ht="13.5" customHeight="1">
      <c r="A471" s="77" t="s">
        <v>2516</v>
      </c>
      <c r="B471" s="708" t="s">
        <v>2517</v>
      </c>
      <c r="C471" s="709"/>
      <c r="D471" s="709"/>
      <c r="E471" s="709"/>
      <c r="F471" s="709"/>
      <c r="G471" s="709"/>
      <c r="H471" s="709"/>
      <c r="I471" s="709"/>
      <c r="J471" s="710"/>
    </row>
    <row r="472" spans="1:10" ht="13.5" customHeight="1">
      <c r="A472" s="77" t="s">
        <v>2518</v>
      </c>
      <c r="B472" s="708" t="s">
        <v>1644</v>
      </c>
      <c r="C472" s="709"/>
      <c r="D472" s="709"/>
      <c r="E472" s="709"/>
      <c r="F472" s="709"/>
      <c r="G472" s="709"/>
      <c r="H472" s="709"/>
      <c r="I472" s="709"/>
      <c r="J472" s="710"/>
    </row>
    <row r="473" spans="1:10" ht="13.5" customHeight="1">
      <c r="A473" s="77" t="s">
        <v>1645</v>
      </c>
      <c r="B473" s="708" t="s">
        <v>638</v>
      </c>
      <c r="C473" s="709"/>
      <c r="D473" s="709"/>
      <c r="E473" s="709"/>
      <c r="F473" s="709"/>
      <c r="G473" s="709"/>
      <c r="H473" s="709"/>
      <c r="I473" s="709"/>
      <c r="J473" s="710"/>
    </row>
    <row r="474" spans="1:10" ht="13.5" customHeight="1">
      <c r="A474" s="77" t="s">
        <v>639</v>
      </c>
      <c r="B474" s="708" t="s">
        <v>640</v>
      </c>
      <c r="C474" s="709"/>
      <c r="D474" s="709"/>
      <c r="E474" s="709"/>
      <c r="F474" s="709"/>
      <c r="G474" s="709"/>
      <c r="H474" s="709"/>
      <c r="I474" s="709"/>
      <c r="J474" s="710"/>
    </row>
    <row r="475" spans="1:10" ht="13.5" customHeight="1">
      <c r="A475" s="77" t="s">
        <v>641</v>
      </c>
      <c r="B475" s="708" t="s">
        <v>642</v>
      </c>
      <c r="C475" s="709"/>
      <c r="D475" s="709"/>
      <c r="E475" s="709"/>
      <c r="F475" s="709"/>
      <c r="G475" s="709"/>
      <c r="H475" s="709"/>
      <c r="I475" s="709"/>
      <c r="J475" s="710"/>
    </row>
    <row r="476" spans="1:10" ht="13.5" customHeight="1">
      <c r="A476" s="77" t="s">
        <v>643</v>
      </c>
      <c r="B476" s="708" t="s">
        <v>644</v>
      </c>
      <c r="C476" s="709"/>
      <c r="D476" s="709"/>
      <c r="E476" s="709"/>
      <c r="F476" s="709"/>
      <c r="G476" s="709"/>
      <c r="H476" s="709"/>
      <c r="I476" s="709"/>
      <c r="J476" s="710"/>
    </row>
    <row r="477" spans="1:10" ht="13.5" customHeight="1">
      <c r="A477" s="77" t="s">
        <v>645</v>
      </c>
      <c r="B477" s="708" t="s">
        <v>646</v>
      </c>
      <c r="C477" s="709"/>
      <c r="D477" s="709"/>
      <c r="E477" s="709"/>
      <c r="F477" s="709"/>
      <c r="G477" s="709"/>
      <c r="H477" s="709"/>
      <c r="I477" s="709"/>
      <c r="J477" s="710"/>
    </row>
    <row r="478" spans="1:10" ht="13.5" customHeight="1">
      <c r="A478" s="77" t="s">
        <v>647</v>
      </c>
      <c r="B478" s="708" t="s">
        <v>648</v>
      </c>
      <c r="C478" s="709"/>
      <c r="D478" s="709"/>
      <c r="E478" s="709"/>
      <c r="F478" s="709"/>
      <c r="G478" s="709"/>
      <c r="H478" s="709"/>
      <c r="I478" s="709"/>
      <c r="J478" s="710"/>
    </row>
    <row r="479" spans="1:10" ht="13.5" customHeight="1">
      <c r="A479" s="77" t="s">
        <v>649</v>
      </c>
      <c r="B479" s="708" t="s">
        <v>650</v>
      </c>
      <c r="C479" s="709"/>
      <c r="D479" s="709"/>
      <c r="E479" s="709"/>
      <c r="F479" s="709"/>
      <c r="G479" s="709"/>
      <c r="H479" s="709"/>
      <c r="I479" s="709"/>
      <c r="J479" s="710"/>
    </row>
    <row r="480" spans="1:10" ht="13.5" customHeight="1">
      <c r="A480" s="77" t="s">
        <v>651</v>
      </c>
      <c r="B480" s="708" t="s">
        <v>652</v>
      </c>
      <c r="C480" s="709"/>
      <c r="D480" s="709"/>
      <c r="E480" s="709"/>
      <c r="F480" s="709"/>
      <c r="G480" s="709"/>
      <c r="H480" s="709"/>
      <c r="I480" s="709"/>
      <c r="J480" s="710"/>
    </row>
    <row r="481" spans="1:10" ht="13.5" customHeight="1">
      <c r="A481" s="77" t="s">
        <v>653</v>
      </c>
      <c r="B481" s="708" t="s">
        <v>654</v>
      </c>
      <c r="C481" s="709"/>
      <c r="D481" s="709"/>
      <c r="E481" s="709"/>
      <c r="F481" s="709"/>
      <c r="G481" s="709"/>
      <c r="H481" s="709"/>
      <c r="I481" s="709"/>
      <c r="J481" s="710"/>
    </row>
    <row r="482" spans="1:10" ht="13.5" customHeight="1">
      <c r="A482" s="77" t="s">
        <v>655</v>
      </c>
      <c r="B482" s="708" t="s">
        <v>656</v>
      </c>
      <c r="C482" s="709"/>
      <c r="D482" s="709"/>
      <c r="E482" s="709"/>
      <c r="F482" s="709"/>
      <c r="G482" s="709"/>
      <c r="H482" s="709"/>
      <c r="I482" s="709"/>
      <c r="J482" s="710"/>
    </row>
    <row r="483" spans="1:10" ht="13.5" customHeight="1">
      <c r="A483" s="77" t="s">
        <v>657</v>
      </c>
      <c r="B483" s="708" t="s">
        <v>658</v>
      </c>
      <c r="C483" s="709"/>
      <c r="D483" s="709"/>
      <c r="E483" s="709"/>
      <c r="F483" s="709"/>
      <c r="G483" s="709"/>
      <c r="H483" s="709"/>
      <c r="I483" s="709"/>
      <c r="J483" s="710"/>
    </row>
    <row r="484" spans="1:10" ht="13.5" customHeight="1">
      <c r="A484" s="77" t="s">
        <v>659</v>
      </c>
      <c r="B484" s="708" t="s">
        <v>660</v>
      </c>
      <c r="C484" s="709"/>
      <c r="D484" s="709"/>
      <c r="E484" s="709"/>
      <c r="F484" s="709"/>
      <c r="G484" s="709"/>
      <c r="H484" s="709"/>
      <c r="I484" s="709"/>
      <c r="J484" s="710"/>
    </row>
    <row r="485" spans="1:10" ht="13.5" customHeight="1">
      <c r="A485" s="77" t="s">
        <v>661</v>
      </c>
      <c r="B485" s="708" t="s">
        <v>662</v>
      </c>
      <c r="C485" s="709"/>
      <c r="D485" s="709"/>
      <c r="E485" s="709"/>
      <c r="F485" s="709"/>
      <c r="G485" s="709"/>
      <c r="H485" s="709"/>
      <c r="I485" s="709"/>
      <c r="J485" s="710"/>
    </row>
    <row r="486" spans="1:10" ht="13.5" customHeight="1">
      <c r="A486" s="77" t="s">
        <v>663</v>
      </c>
      <c r="B486" s="708" t="s">
        <v>664</v>
      </c>
      <c r="C486" s="709"/>
      <c r="D486" s="709"/>
      <c r="E486" s="709"/>
      <c r="F486" s="709"/>
      <c r="G486" s="709"/>
      <c r="H486" s="709"/>
      <c r="I486" s="709"/>
      <c r="J486" s="710"/>
    </row>
    <row r="487" spans="1:10" ht="13.5" customHeight="1">
      <c r="A487" s="77" t="s">
        <v>665</v>
      </c>
      <c r="B487" s="708" t="s">
        <v>666</v>
      </c>
      <c r="C487" s="709"/>
      <c r="D487" s="709"/>
      <c r="E487" s="709"/>
      <c r="F487" s="709"/>
      <c r="G487" s="709"/>
      <c r="H487" s="709"/>
      <c r="I487" s="709"/>
      <c r="J487" s="710"/>
    </row>
    <row r="488" spans="1:10" ht="13.5" customHeight="1">
      <c r="A488" s="77" t="s">
        <v>667</v>
      </c>
      <c r="B488" s="708" t="s">
        <v>1983</v>
      </c>
      <c r="C488" s="709"/>
      <c r="D488" s="709"/>
      <c r="E488" s="709"/>
      <c r="F488" s="709"/>
      <c r="G488" s="709"/>
      <c r="H488" s="709"/>
      <c r="I488" s="709"/>
      <c r="J488" s="710"/>
    </row>
    <row r="489" spans="1:10" ht="13.5" customHeight="1">
      <c r="A489" s="77" t="s">
        <v>1984</v>
      </c>
      <c r="B489" s="708" t="s">
        <v>1985</v>
      </c>
      <c r="C489" s="709"/>
      <c r="D489" s="709"/>
      <c r="E489" s="709"/>
      <c r="F489" s="709"/>
      <c r="G489" s="709"/>
      <c r="H489" s="709"/>
      <c r="I489" s="709"/>
      <c r="J489" s="710"/>
    </row>
    <row r="490" spans="1:10" ht="13.5" customHeight="1">
      <c r="A490" s="77" t="s">
        <v>1986</v>
      </c>
      <c r="B490" s="708" t="s">
        <v>1987</v>
      </c>
      <c r="C490" s="709"/>
      <c r="D490" s="709"/>
      <c r="E490" s="709"/>
      <c r="F490" s="709"/>
      <c r="G490" s="709"/>
      <c r="H490" s="709"/>
      <c r="I490" s="709"/>
      <c r="J490" s="710"/>
    </row>
    <row r="491" spans="1:10" ht="13.5" customHeight="1">
      <c r="A491" s="77" t="s">
        <v>1988</v>
      </c>
      <c r="B491" s="708" t="s">
        <v>1989</v>
      </c>
      <c r="C491" s="709"/>
      <c r="D491" s="709"/>
      <c r="E491" s="709"/>
      <c r="F491" s="709"/>
      <c r="G491" s="709"/>
      <c r="H491" s="709"/>
      <c r="I491" s="709"/>
      <c r="J491" s="710"/>
    </row>
    <row r="492" spans="1:10" ht="13.5" customHeight="1">
      <c r="A492" s="77" t="s">
        <v>1990</v>
      </c>
      <c r="B492" s="708" t="s">
        <v>1991</v>
      </c>
      <c r="C492" s="709"/>
      <c r="D492" s="709"/>
      <c r="E492" s="709"/>
      <c r="F492" s="709"/>
      <c r="G492" s="709"/>
      <c r="H492" s="709"/>
      <c r="I492" s="709"/>
      <c r="J492" s="710"/>
    </row>
    <row r="493" spans="1:10" ht="13.5" customHeight="1">
      <c r="A493" s="77" t="s">
        <v>1992</v>
      </c>
      <c r="B493" s="708" t="s">
        <v>1993</v>
      </c>
      <c r="C493" s="709"/>
      <c r="D493" s="709"/>
      <c r="E493" s="709"/>
      <c r="F493" s="709"/>
      <c r="G493" s="709"/>
      <c r="H493" s="709"/>
      <c r="I493" s="709"/>
      <c r="J493" s="710"/>
    </row>
    <row r="494" spans="1:10" ht="13.5" customHeight="1">
      <c r="A494" s="77" t="s">
        <v>1994</v>
      </c>
      <c r="B494" s="708" t="s">
        <v>1995</v>
      </c>
      <c r="C494" s="709"/>
      <c r="D494" s="709"/>
      <c r="E494" s="709"/>
      <c r="F494" s="709"/>
      <c r="G494" s="709"/>
      <c r="H494" s="709"/>
      <c r="I494" s="709"/>
      <c r="J494" s="710"/>
    </row>
    <row r="495" spans="1:10" ht="13.5" customHeight="1">
      <c r="A495" s="77" t="s">
        <v>1996</v>
      </c>
      <c r="B495" s="708" t="s">
        <v>1997</v>
      </c>
      <c r="C495" s="709"/>
      <c r="D495" s="709"/>
      <c r="E495" s="709"/>
      <c r="F495" s="709"/>
      <c r="G495" s="709"/>
      <c r="H495" s="709"/>
      <c r="I495" s="709"/>
      <c r="J495" s="710"/>
    </row>
    <row r="496" spans="1:10" ht="13.5" customHeight="1">
      <c r="A496" s="77" t="s">
        <v>939</v>
      </c>
      <c r="B496" s="708" t="s">
        <v>940</v>
      </c>
      <c r="C496" s="709"/>
      <c r="D496" s="709"/>
      <c r="E496" s="709"/>
      <c r="F496" s="709"/>
      <c r="G496" s="709"/>
      <c r="H496" s="709"/>
      <c r="I496" s="709"/>
      <c r="J496" s="710"/>
    </row>
    <row r="497" spans="1:10" ht="13.5" customHeight="1">
      <c r="A497" s="77" t="s">
        <v>941</v>
      </c>
      <c r="B497" s="708" t="s">
        <v>183</v>
      </c>
      <c r="C497" s="709"/>
      <c r="D497" s="709"/>
      <c r="E497" s="709"/>
      <c r="F497" s="709"/>
      <c r="G497" s="709"/>
      <c r="H497" s="709"/>
      <c r="I497" s="709"/>
      <c r="J497" s="710"/>
    </row>
    <row r="498" spans="1:10" ht="13.5" customHeight="1">
      <c r="A498" s="77" t="s">
        <v>184</v>
      </c>
      <c r="B498" s="708" t="s">
        <v>185</v>
      </c>
      <c r="C498" s="709"/>
      <c r="D498" s="709"/>
      <c r="E498" s="709"/>
      <c r="F498" s="709"/>
      <c r="G498" s="709"/>
      <c r="H498" s="709"/>
      <c r="I498" s="709"/>
      <c r="J498" s="710"/>
    </row>
    <row r="499" spans="1:10" ht="13.5" customHeight="1">
      <c r="A499" s="77" t="s">
        <v>186</v>
      </c>
      <c r="B499" s="708" t="s">
        <v>187</v>
      </c>
      <c r="C499" s="709"/>
      <c r="D499" s="709"/>
      <c r="E499" s="709"/>
      <c r="F499" s="709"/>
      <c r="G499" s="709"/>
      <c r="H499" s="709"/>
      <c r="I499" s="709"/>
      <c r="J499" s="710"/>
    </row>
    <row r="500" spans="1:10" ht="13.5" customHeight="1">
      <c r="A500" s="77" t="s">
        <v>188</v>
      </c>
      <c r="B500" s="708" t="s">
        <v>189</v>
      </c>
      <c r="C500" s="709"/>
      <c r="D500" s="709"/>
      <c r="E500" s="709"/>
      <c r="F500" s="709"/>
      <c r="G500" s="709"/>
      <c r="H500" s="709"/>
      <c r="I500" s="709"/>
      <c r="J500" s="710"/>
    </row>
    <row r="501" spans="1:10" ht="13.5" customHeight="1">
      <c r="A501" s="77" t="s">
        <v>190</v>
      </c>
      <c r="B501" s="708" t="s">
        <v>362</v>
      </c>
      <c r="C501" s="709"/>
      <c r="D501" s="709"/>
      <c r="E501" s="709"/>
      <c r="F501" s="709"/>
      <c r="G501" s="709"/>
      <c r="H501" s="709"/>
      <c r="I501" s="709"/>
      <c r="J501" s="710"/>
    </row>
    <row r="502" spans="1:10" ht="13.5" customHeight="1">
      <c r="A502" s="77" t="s">
        <v>363</v>
      </c>
      <c r="B502" s="708" t="s">
        <v>364</v>
      </c>
      <c r="C502" s="709"/>
      <c r="D502" s="709"/>
      <c r="E502" s="709"/>
      <c r="F502" s="709"/>
      <c r="G502" s="709"/>
      <c r="H502" s="709"/>
      <c r="I502" s="709"/>
      <c r="J502" s="710"/>
    </row>
    <row r="503" spans="1:10" ht="13.5" customHeight="1">
      <c r="A503" s="77" t="s">
        <v>365</v>
      </c>
      <c r="B503" s="708" t="s">
        <v>366</v>
      </c>
      <c r="C503" s="709"/>
      <c r="D503" s="709"/>
      <c r="E503" s="709"/>
      <c r="F503" s="709"/>
      <c r="G503" s="709"/>
      <c r="H503" s="709"/>
      <c r="I503" s="709"/>
      <c r="J503" s="710"/>
    </row>
    <row r="504" spans="1:10" ht="13.5" customHeight="1">
      <c r="A504" s="77" t="s">
        <v>367</v>
      </c>
      <c r="B504" s="708" t="s">
        <v>368</v>
      </c>
      <c r="C504" s="709"/>
      <c r="D504" s="709"/>
      <c r="E504" s="709"/>
      <c r="F504" s="709"/>
      <c r="G504" s="709"/>
      <c r="H504" s="709"/>
      <c r="I504" s="709"/>
      <c r="J504" s="710"/>
    </row>
    <row r="505" spans="1:10" ht="13.5" customHeight="1">
      <c r="A505" s="77" t="s">
        <v>369</v>
      </c>
      <c r="B505" s="708" t="s">
        <v>370</v>
      </c>
      <c r="C505" s="709"/>
      <c r="D505" s="709"/>
      <c r="E505" s="709"/>
      <c r="F505" s="709"/>
      <c r="G505" s="709"/>
      <c r="H505" s="709"/>
      <c r="I505" s="709"/>
      <c r="J505" s="710"/>
    </row>
    <row r="506" spans="1:10" ht="13.5" customHeight="1">
      <c r="A506" s="77" t="s">
        <v>371</v>
      </c>
      <c r="B506" s="708" t="s">
        <v>372</v>
      </c>
      <c r="C506" s="709"/>
      <c r="D506" s="709"/>
      <c r="E506" s="709"/>
      <c r="F506" s="709"/>
      <c r="G506" s="709"/>
      <c r="H506" s="709"/>
      <c r="I506" s="709"/>
      <c r="J506" s="710"/>
    </row>
    <row r="507" spans="1:10" ht="13.5" customHeight="1">
      <c r="A507" s="77" t="s">
        <v>373</v>
      </c>
      <c r="B507" s="708" t="s">
        <v>374</v>
      </c>
      <c r="C507" s="709"/>
      <c r="D507" s="709"/>
      <c r="E507" s="709"/>
      <c r="F507" s="709"/>
      <c r="G507" s="709"/>
      <c r="H507" s="709"/>
      <c r="I507" s="709"/>
      <c r="J507" s="710"/>
    </row>
    <row r="508" spans="1:10" ht="13.5" customHeight="1">
      <c r="A508" s="77" t="s">
        <v>375</v>
      </c>
      <c r="B508" s="708" t="s">
        <v>376</v>
      </c>
      <c r="C508" s="709"/>
      <c r="D508" s="709"/>
      <c r="E508" s="709"/>
      <c r="F508" s="709"/>
      <c r="G508" s="709"/>
      <c r="H508" s="709"/>
      <c r="I508" s="709"/>
      <c r="J508" s="710"/>
    </row>
    <row r="509" spans="1:10" ht="13.5" customHeight="1">
      <c r="A509" s="77" t="s">
        <v>377</v>
      </c>
      <c r="B509" s="708" t="s">
        <v>1842</v>
      </c>
      <c r="C509" s="709"/>
      <c r="D509" s="709"/>
      <c r="E509" s="709"/>
      <c r="F509" s="709"/>
      <c r="G509" s="709"/>
      <c r="H509" s="709"/>
      <c r="I509" s="709"/>
      <c r="J509" s="710"/>
    </row>
    <row r="510" spans="1:10" ht="13.5" customHeight="1">
      <c r="A510" s="77" t="s">
        <v>1843</v>
      </c>
      <c r="B510" s="708" t="s">
        <v>1132</v>
      </c>
      <c r="C510" s="709"/>
      <c r="D510" s="709"/>
      <c r="E510" s="709"/>
      <c r="F510" s="709"/>
      <c r="G510" s="709"/>
      <c r="H510" s="709"/>
      <c r="I510" s="709"/>
      <c r="J510" s="710"/>
    </row>
    <row r="511" spans="1:10" ht="13.5" customHeight="1">
      <c r="A511" s="77" t="s">
        <v>1133</v>
      </c>
      <c r="B511" s="708" t="s">
        <v>1134</v>
      </c>
      <c r="C511" s="709"/>
      <c r="D511" s="709"/>
      <c r="E511" s="709"/>
      <c r="F511" s="709"/>
      <c r="G511" s="709"/>
      <c r="H511" s="709"/>
      <c r="I511" s="709"/>
      <c r="J511" s="710"/>
    </row>
    <row r="512" spans="1:10" ht="13.5" customHeight="1">
      <c r="A512" s="77" t="s">
        <v>1135</v>
      </c>
      <c r="B512" s="708" t="s">
        <v>1136</v>
      </c>
      <c r="C512" s="709"/>
      <c r="D512" s="709"/>
      <c r="E512" s="709"/>
      <c r="F512" s="709"/>
      <c r="G512" s="709"/>
      <c r="H512" s="709"/>
      <c r="I512" s="709"/>
      <c r="J512" s="710"/>
    </row>
    <row r="513" spans="1:10" ht="13.5" customHeight="1">
      <c r="A513" s="77" t="s">
        <v>1137</v>
      </c>
      <c r="B513" s="708" t="s">
        <v>1410</v>
      </c>
      <c r="C513" s="709"/>
      <c r="D513" s="709"/>
      <c r="E513" s="709"/>
      <c r="F513" s="709"/>
      <c r="G513" s="709"/>
      <c r="H513" s="709"/>
      <c r="I513" s="709"/>
      <c r="J513" s="710"/>
    </row>
    <row r="514" spans="1:10" ht="13.5" customHeight="1">
      <c r="A514" s="77" t="s">
        <v>1411</v>
      </c>
      <c r="B514" s="708" t="s">
        <v>1412</v>
      </c>
      <c r="C514" s="709"/>
      <c r="D514" s="709"/>
      <c r="E514" s="709"/>
      <c r="F514" s="709"/>
      <c r="G514" s="709"/>
      <c r="H514" s="709"/>
      <c r="I514" s="709"/>
      <c r="J514" s="710"/>
    </row>
    <row r="515" spans="1:10" ht="13.5" customHeight="1">
      <c r="A515" s="77" t="s">
        <v>1413</v>
      </c>
      <c r="B515" s="708" t="s">
        <v>1414</v>
      </c>
      <c r="C515" s="709"/>
      <c r="D515" s="709"/>
      <c r="E515" s="709"/>
      <c r="F515" s="709"/>
      <c r="G515" s="709"/>
      <c r="H515" s="709"/>
      <c r="I515" s="709"/>
      <c r="J515" s="710"/>
    </row>
    <row r="516" spans="1:10" ht="13.5" customHeight="1">
      <c r="A516" s="77" t="s">
        <v>1415</v>
      </c>
      <c r="B516" s="708" t="s">
        <v>1717</v>
      </c>
      <c r="C516" s="709"/>
      <c r="D516" s="709"/>
      <c r="E516" s="709"/>
      <c r="F516" s="709"/>
      <c r="G516" s="709"/>
      <c r="H516" s="709"/>
      <c r="I516" s="709"/>
      <c r="J516" s="710"/>
    </row>
    <row r="517" spans="1:10" ht="13.5" customHeight="1">
      <c r="A517" s="77" t="s">
        <v>1718</v>
      </c>
      <c r="B517" s="708" t="s">
        <v>1719</v>
      </c>
      <c r="C517" s="709"/>
      <c r="D517" s="709"/>
      <c r="E517" s="709"/>
      <c r="F517" s="709"/>
      <c r="G517" s="709"/>
      <c r="H517" s="709"/>
      <c r="I517" s="709"/>
      <c r="J517" s="710"/>
    </row>
    <row r="518" spans="1:10" ht="13.5" customHeight="1">
      <c r="A518" s="77" t="s">
        <v>1720</v>
      </c>
      <c r="B518" s="708" t="s">
        <v>1721</v>
      </c>
      <c r="C518" s="709"/>
      <c r="D518" s="709"/>
      <c r="E518" s="709"/>
      <c r="F518" s="709"/>
      <c r="G518" s="709"/>
      <c r="H518" s="709"/>
      <c r="I518" s="709"/>
      <c r="J518" s="710"/>
    </row>
    <row r="519" spans="1:10" ht="13.5" customHeight="1">
      <c r="A519" s="77" t="s">
        <v>1722</v>
      </c>
      <c r="B519" s="708" t="s">
        <v>1723</v>
      </c>
      <c r="C519" s="709"/>
      <c r="D519" s="709"/>
      <c r="E519" s="709"/>
      <c r="F519" s="709"/>
      <c r="G519" s="709"/>
      <c r="H519" s="709"/>
      <c r="I519" s="709"/>
      <c r="J519" s="710"/>
    </row>
    <row r="520" spans="1:10" ht="13.5" customHeight="1">
      <c r="A520" s="77" t="s">
        <v>1724</v>
      </c>
      <c r="B520" s="708" t="s">
        <v>1725</v>
      </c>
      <c r="C520" s="709"/>
      <c r="D520" s="709"/>
      <c r="E520" s="709"/>
      <c r="F520" s="709"/>
      <c r="G520" s="709"/>
      <c r="H520" s="709"/>
      <c r="I520" s="709"/>
      <c r="J520" s="710"/>
    </row>
    <row r="521" spans="1:10" ht="13.5" customHeight="1">
      <c r="A521" s="77" t="s">
        <v>1726</v>
      </c>
      <c r="B521" s="708" t="s">
        <v>1727</v>
      </c>
      <c r="C521" s="709"/>
      <c r="D521" s="709"/>
      <c r="E521" s="709"/>
      <c r="F521" s="709"/>
      <c r="G521" s="709"/>
      <c r="H521" s="709"/>
      <c r="I521" s="709"/>
      <c r="J521" s="710"/>
    </row>
    <row r="522" spans="1:10" ht="13.5" customHeight="1">
      <c r="A522" s="77" t="s">
        <v>1728</v>
      </c>
      <c r="B522" s="708" t="s">
        <v>515</v>
      </c>
      <c r="C522" s="709"/>
      <c r="D522" s="709"/>
      <c r="E522" s="709"/>
      <c r="F522" s="709"/>
      <c r="G522" s="709"/>
      <c r="H522" s="709"/>
      <c r="I522" s="709"/>
      <c r="J522" s="710"/>
    </row>
    <row r="523" spans="1:10" ht="13.5" customHeight="1">
      <c r="A523" s="77" t="s">
        <v>516</v>
      </c>
      <c r="B523" s="708" t="s">
        <v>517</v>
      </c>
      <c r="C523" s="709"/>
      <c r="D523" s="709"/>
      <c r="E523" s="709"/>
      <c r="F523" s="709"/>
      <c r="G523" s="709"/>
      <c r="H523" s="709"/>
      <c r="I523" s="709"/>
      <c r="J523" s="710"/>
    </row>
    <row r="524" spans="1:10" ht="13.5" customHeight="1">
      <c r="A524" s="77" t="s">
        <v>518</v>
      </c>
      <c r="B524" s="708" t="s">
        <v>2196</v>
      </c>
      <c r="C524" s="709"/>
      <c r="D524" s="709"/>
      <c r="E524" s="709"/>
      <c r="F524" s="709"/>
      <c r="G524" s="709"/>
      <c r="H524" s="709"/>
      <c r="I524" s="709"/>
      <c r="J524" s="710"/>
    </row>
    <row r="525" spans="1:10" ht="13.5" customHeight="1">
      <c r="A525" s="77" t="s">
        <v>2197</v>
      </c>
      <c r="B525" s="708" t="s">
        <v>2198</v>
      </c>
      <c r="C525" s="709"/>
      <c r="D525" s="709"/>
      <c r="E525" s="709"/>
      <c r="F525" s="709"/>
      <c r="G525" s="709"/>
      <c r="H525" s="709"/>
      <c r="I525" s="709"/>
      <c r="J525" s="710"/>
    </row>
    <row r="526" spans="1:10" ht="13.5" customHeight="1">
      <c r="A526" s="77" t="s">
        <v>2199</v>
      </c>
      <c r="B526" s="708" t="s">
        <v>2200</v>
      </c>
      <c r="C526" s="709"/>
      <c r="D526" s="709"/>
      <c r="E526" s="709"/>
      <c r="F526" s="709"/>
      <c r="G526" s="709"/>
      <c r="H526" s="709"/>
      <c r="I526" s="709"/>
      <c r="J526" s="710"/>
    </row>
    <row r="527" spans="1:10" ht="13.5" customHeight="1">
      <c r="A527" s="77" t="s">
        <v>2201</v>
      </c>
      <c r="B527" s="708" t="s">
        <v>2202</v>
      </c>
      <c r="C527" s="709"/>
      <c r="D527" s="709"/>
      <c r="E527" s="709"/>
      <c r="F527" s="709"/>
      <c r="G527" s="709"/>
      <c r="H527" s="709"/>
      <c r="I527" s="709"/>
      <c r="J527" s="710"/>
    </row>
    <row r="528" spans="1:10" ht="25.5" customHeight="1">
      <c r="A528" s="77" t="s">
        <v>2203</v>
      </c>
      <c r="B528" s="708" t="s">
        <v>2204</v>
      </c>
      <c r="C528" s="709"/>
      <c r="D528" s="709"/>
      <c r="E528" s="709"/>
      <c r="F528" s="709"/>
      <c r="G528" s="709"/>
      <c r="H528" s="709"/>
      <c r="I528" s="709"/>
      <c r="J528" s="710"/>
    </row>
    <row r="529" spans="1:10" ht="13.5" customHeight="1">
      <c r="A529" s="77" t="s">
        <v>2205</v>
      </c>
      <c r="B529" s="708" t="s">
        <v>2206</v>
      </c>
      <c r="C529" s="709"/>
      <c r="D529" s="709"/>
      <c r="E529" s="709"/>
      <c r="F529" s="709"/>
      <c r="G529" s="709"/>
      <c r="H529" s="709"/>
      <c r="I529" s="709"/>
      <c r="J529" s="710"/>
    </row>
    <row r="530" spans="1:10" ht="13.5" customHeight="1">
      <c r="A530" s="77" t="s">
        <v>2207</v>
      </c>
      <c r="B530" s="708" t="s">
        <v>2208</v>
      </c>
      <c r="C530" s="709"/>
      <c r="D530" s="709"/>
      <c r="E530" s="709"/>
      <c r="F530" s="709"/>
      <c r="G530" s="709"/>
      <c r="H530" s="709"/>
      <c r="I530" s="709"/>
      <c r="J530" s="710"/>
    </row>
    <row r="531" spans="1:10" ht="13.5" customHeight="1">
      <c r="A531" s="77" t="s">
        <v>2209</v>
      </c>
      <c r="B531" s="708" t="s">
        <v>2210</v>
      </c>
      <c r="C531" s="709"/>
      <c r="D531" s="709"/>
      <c r="E531" s="709"/>
      <c r="F531" s="709"/>
      <c r="G531" s="709"/>
      <c r="H531" s="709"/>
      <c r="I531" s="709"/>
      <c r="J531" s="710"/>
    </row>
    <row r="532" spans="1:10" ht="13.5" customHeight="1">
      <c r="A532" s="77" t="s">
        <v>2211</v>
      </c>
      <c r="B532" s="708" t="s">
        <v>2212</v>
      </c>
      <c r="C532" s="709"/>
      <c r="D532" s="709"/>
      <c r="E532" s="709"/>
      <c r="F532" s="709"/>
      <c r="G532" s="709"/>
      <c r="H532" s="709"/>
      <c r="I532" s="709"/>
      <c r="J532" s="710"/>
    </row>
    <row r="533" spans="1:10" ht="13.5" customHeight="1">
      <c r="A533" s="77" t="s">
        <v>2213</v>
      </c>
      <c r="B533" s="708" t="s">
        <v>2214</v>
      </c>
      <c r="C533" s="709"/>
      <c r="D533" s="709"/>
      <c r="E533" s="709"/>
      <c r="F533" s="709"/>
      <c r="G533" s="709"/>
      <c r="H533" s="709"/>
      <c r="I533" s="709"/>
      <c r="J533" s="710"/>
    </row>
    <row r="534" spans="1:10" ht="13.5" customHeight="1">
      <c r="A534" s="77" t="s">
        <v>2215</v>
      </c>
      <c r="B534" s="708" t="s">
        <v>385</v>
      </c>
      <c r="C534" s="709"/>
      <c r="D534" s="709"/>
      <c r="E534" s="709"/>
      <c r="F534" s="709"/>
      <c r="G534" s="709"/>
      <c r="H534" s="709"/>
      <c r="I534" s="709"/>
      <c r="J534" s="710"/>
    </row>
    <row r="535" spans="1:10" ht="13.5" customHeight="1">
      <c r="A535" s="77" t="s">
        <v>386</v>
      </c>
      <c r="B535" s="708" t="s">
        <v>387</v>
      </c>
      <c r="C535" s="709"/>
      <c r="D535" s="709"/>
      <c r="E535" s="709"/>
      <c r="F535" s="709"/>
      <c r="G535" s="709"/>
      <c r="H535" s="709"/>
      <c r="I535" s="709"/>
      <c r="J535" s="710"/>
    </row>
    <row r="536" spans="1:10" ht="13.5" customHeight="1">
      <c r="A536" s="77" t="s">
        <v>388</v>
      </c>
      <c r="B536" s="708" t="s">
        <v>579</v>
      </c>
      <c r="C536" s="709"/>
      <c r="D536" s="709"/>
      <c r="E536" s="709"/>
      <c r="F536" s="709"/>
      <c r="G536" s="709"/>
      <c r="H536" s="709"/>
      <c r="I536" s="709"/>
      <c r="J536" s="710"/>
    </row>
    <row r="537" spans="1:10" ht="13.5" customHeight="1">
      <c r="A537" s="77" t="s">
        <v>580</v>
      </c>
      <c r="B537" s="708" t="s">
        <v>581</v>
      </c>
      <c r="C537" s="709"/>
      <c r="D537" s="709"/>
      <c r="E537" s="709"/>
      <c r="F537" s="709"/>
      <c r="G537" s="709"/>
      <c r="H537" s="709"/>
      <c r="I537" s="709"/>
      <c r="J537" s="710"/>
    </row>
    <row r="538" spans="1:10" ht="13.5" customHeight="1">
      <c r="A538" s="77" t="s">
        <v>582</v>
      </c>
      <c r="B538" s="708" t="s">
        <v>583</v>
      </c>
      <c r="C538" s="709"/>
      <c r="D538" s="709"/>
      <c r="E538" s="709"/>
      <c r="F538" s="709"/>
      <c r="G538" s="709"/>
      <c r="H538" s="709"/>
      <c r="I538" s="709"/>
      <c r="J538" s="710"/>
    </row>
    <row r="539" spans="1:10" ht="13.5" customHeight="1">
      <c r="A539" s="77" t="s">
        <v>584</v>
      </c>
      <c r="B539" s="708" t="s">
        <v>585</v>
      </c>
      <c r="C539" s="709"/>
      <c r="D539" s="709"/>
      <c r="E539" s="709"/>
      <c r="F539" s="709"/>
      <c r="G539" s="709"/>
      <c r="H539" s="709"/>
      <c r="I539" s="709"/>
      <c r="J539" s="710"/>
    </row>
    <row r="540" spans="1:10" ht="13.5" customHeight="1">
      <c r="A540" s="77" t="s">
        <v>586</v>
      </c>
      <c r="B540" s="708" t="s">
        <v>587</v>
      </c>
      <c r="C540" s="709"/>
      <c r="D540" s="709"/>
      <c r="E540" s="709"/>
      <c r="F540" s="709"/>
      <c r="G540" s="709"/>
      <c r="H540" s="709"/>
      <c r="I540" s="709"/>
      <c r="J540" s="710"/>
    </row>
    <row r="541" spans="1:10" ht="13.5" customHeight="1">
      <c r="A541" s="77" t="s">
        <v>588</v>
      </c>
      <c r="B541" s="708" t="s">
        <v>589</v>
      </c>
      <c r="C541" s="709"/>
      <c r="D541" s="709"/>
      <c r="E541" s="709"/>
      <c r="F541" s="709"/>
      <c r="G541" s="709"/>
      <c r="H541" s="709"/>
      <c r="I541" s="709"/>
      <c r="J541" s="710"/>
    </row>
    <row r="542" spans="1:10" ht="13.5" customHeight="1">
      <c r="A542" s="77" t="s">
        <v>590</v>
      </c>
      <c r="B542" s="708" t="s">
        <v>591</v>
      </c>
      <c r="C542" s="709"/>
      <c r="D542" s="709"/>
      <c r="E542" s="709"/>
      <c r="F542" s="709"/>
      <c r="G542" s="709"/>
      <c r="H542" s="709"/>
      <c r="I542" s="709"/>
      <c r="J542" s="710"/>
    </row>
    <row r="543" spans="1:10" ht="13.5" customHeight="1">
      <c r="A543" s="77" t="s">
        <v>592</v>
      </c>
      <c r="B543" s="708" t="s">
        <v>739</v>
      </c>
      <c r="C543" s="709"/>
      <c r="D543" s="709"/>
      <c r="E543" s="709"/>
      <c r="F543" s="709"/>
      <c r="G543" s="709"/>
      <c r="H543" s="709"/>
      <c r="I543" s="709"/>
      <c r="J543" s="710"/>
    </row>
    <row r="544" spans="1:10" ht="13.5" customHeight="1">
      <c r="A544" s="77" t="s">
        <v>740</v>
      </c>
      <c r="B544" s="708" t="s">
        <v>741</v>
      </c>
      <c r="C544" s="709"/>
      <c r="D544" s="709"/>
      <c r="E544" s="709"/>
      <c r="F544" s="709"/>
      <c r="G544" s="709"/>
      <c r="H544" s="709"/>
      <c r="I544" s="709"/>
      <c r="J544" s="710"/>
    </row>
    <row r="545" spans="1:10" ht="13.5" customHeight="1">
      <c r="A545" s="77" t="s">
        <v>742</v>
      </c>
      <c r="B545" s="708" t="s">
        <v>743</v>
      </c>
      <c r="C545" s="709"/>
      <c r="D545" s="709"/>
      <c r="E545" s="709"/>
      <c r="F545" s="709"/>
      <c r="G545" s="709"/>
      <c r="H545" s="709"/>
      <c r="I545" s="709"/>
      <c r="J545" s="710"/>
    </row>
    <row r="546" spans="1:10" ht="13.5" customHeight="1">
      <c r="A546" s="77" t="s">
        <v>744</v>
      </c>
      <c r="B546" s="708" t="s">
        <v>745</v>
      </c>
      <c r="C546" s="709"/>
      <c r="D546" s="709"/>
      <c r="E546" s="709"/>
      <c r="F546" s="709"/>
      <c r="G546" s="709"/>
      <c r="H546" s="709"/>
      <c r="I546" s="709"/>
      <c r="J546" s="710"/>
    </row>
    <row r="547" spans="1:10" ht="13.5" customHeight="1">
      <c r="A547" s="77" t="s">
        <v>746</v>
      </c>
      <c r="B547" s="708" t="s">
        <v>747</v>
      </c>
      <c r="C547" s="709"/>
      <c r="D547" s="709"/>
      <c r="E547" s="709"/>
      <c r="F547" s="709"/>
      <c r="G547" s="709"/>
      <c r="H547" s="709"/>
      <c r="I547" s="709"/>
      <c r="J547" s="710"/>
    </row>
    <row r="548" spans="1:10" ht="13.5" customHeight="1">
      <c r="A548" s="77" t="s">
        <v>748</v>
      </c>
      <c r="B548" s="708" t="s">
        <v>749</v>
      </c>
      <c r="C548" s="709"/>
      <c r="D548" s="709"/>
      <c r="E548" s="709"/>
      <c r="F548" s="709"/>
      <c r="G548" s="709"/>
      <c r="H548" s="709"/>
      <c r="I548" s="709"/>
      <c r="J548" s="710"/>
    </row>
    <row r="549" spans="1:10" ht="13.5" customHeight="1">
      <c r="A549" s="77" t="s">
        <v>750</v>
      </c>
      <c r="B549" s="708" t="s">
        <v>751</v>
      </c>
      <c r="C549" s="709"/>
      <c r="D549" s="709"/>
      <c r="E549" s="709"/>
      <c r="F549" s="709"/>
      <c r="G549" s="709"/>
      <c r="H549" s="709"/>
      <c r="I549" s="709"/>
      <c r="J549" s="710"/>
    </row>
    <row r="550" spans="1:10" ht="13.5" customHeight="1">
      <c r="A550" s="77" t="s">
        <v>752</v>
      </c>
      <c r="B550" s="708" t="s">
        <v>753</v>
      </c>
      <c r="C550" s="709"/>
      <c r="D550" s="709"/>
      <c r="E550" s="709"/>
      <c r="F550" s="709"/>
      <c r="G550" s="709"/>
      <c r="H550" s="709"/>
      <c r="I550" s="709"/>
      <c r="J550" s="710"/>
    </row>
    <row r="551" spans="1:10" ht="25.5" customHeight="1">
      <c r="A551" s="77" t="s">
        <v>754</v>
      </c>
      <c r="B551" s="708" t="s">
        <v>2291</v>
      </c>
      <c r="C551" s="709"/>
      <c r="D551" s="709"/>
      <c r="E551" s="709"/>
      <c r="F551" s="709"/>
      <c r="G551" s="709"/>
      <c r="H551" s="709"/>
      <c r="I551" s="709"/>
      <c r="J551" s="710"/>
    </row>
    <row r="552" spans="1:10" ht="13.5" customHeight="1">
      <c r="A552" s="77" t="s">
        <v>2292</v>
      </c>
      <c r="B552" s="708" t="s">
        <v>2419</v>
      </c>
      <c r="C552" s="709"/>
      <c r="D552" s="709"/>
      <c r="E552" s="709"/>
      <c r="F552" s="709"/>
      <c r="G552" s="709"/>
      <c r="H552" s="709"/>
      <c r="I552" s="709"/>
      <c r="J552" s="710"/>
    </row>
    <row r="553" spans="1:10" ht="13.5" customHeight="1">
      <c r="A553" s="77" t="s">
        <v>2420</v>
      </c>
      <c r="B553" s="708" t="s">
        <v>2421</v>
      </c>
      <c r="C553" s="709"/>
      <c r="D553" s="709"/>
      <c r="E553" s="709"/>
      <c r="F553" s="709"/>
      <c r="G553" s="709"/>
      <c r="H553" s="709"/>
      <c r="I553" s="709"/>
      <c r="J553" s="710"/>
    </row>
    <row r="554" spans="1:10" ht="13.5" customHeight="1">
      <c r="A554" s="77" t="s">
        <v>2422</v>
      </c>
      <c r="B554" s="708" t="s">
        <v>2423</v>
      </c>
      <c r="C554" s="709"/>
      <c r="D554" s="709"/>
      <c r="E554" s="709"/>
      <c r="F554" s="709"/>
      <c r="G554" s="709"/>
      <c r="H554" s="709"/>
      <c r="I554" s="709"/>
      <c r="J554" s="710"/>
    </row>
    <row r="555" spans="1:10" ht="13.5" customHeight="1">
      <c r="A555" s="77" t="s">
        <v>2424</v>
      </c>
      <c r="B555" s="708" t="s">
        <v>2425</v>
      </c>
      <c r="C555" s="709"/>
      <c r="D555" s="709"/>
      <c r="E555" s="709"/>
      <c r="F555" s="709"/>
      <c r="G555" s="709"/>
      <c r="H555" s="709"/>
      <c r="I555" s="709"/>
      <c r="J555" s="710"/>
    </row>
    <row r="556" spans="1:10" ht="13.5" customHeight="1">
      <c r="A556" s="77" t="s">
        <v>2426</v>
      </c>
      <c r="B556" s="708" t="s">
        <v>2427</v>
      </c>
      <c r="C556" s="709"/>
      <c r="D556" s="709"/>
      <c r="E556" s="709"/>
      <c r="F556" s="709"/>
      <c r="G556" s="709"/>
      <c r="H556" s="709"/>
      <c r="I556" s="709"/>
      <c r="J556" s="710"/>
    </row>
    <row r="557" spans="1:10" ht="13.5" customHeight="1">
      <c r="A557" s="77" t="s">
        <v>2428</v>
      </c>
      <c r="B557" s="708" t="s">
        <v>801</v>
      </c>
      <c r="C557" s="709"/>
      <c r="D557" s="709"/>
      <c r="E557" s="709"/>
      <c r="F557" s="709"/>
      <c r="G557" s="709"/>
      <c r="H557" s="709"/>
      <c r="I557" s="709"/>
      <c r="J557" s="710"/>
    </row>
    <row r="558" spans="1:10" ht="13.5" customHeight="1">
      <c r="A558" s="77" t="s">
        <v>802</v>
      </c>
      <c r="B558" s="708" t="s">
        <v>803</v>
      </c>
      <c r="C558" s="709"/>
      <c r="D558" s="709"/>
      <c r="E558" s="709"/>
      <c r="F558" s="709"/>
      <c r="G558" s="709"/>
      <c r="H558" s="709"/>
      <c r="I558" s="709"/>
      <c r="J558" s="710"/>
    </row>
    <row r="559" spans="1:10" ht="13.5" customHeight="1">
      <c r="A559" s="77" t="s">
        <v>804</v>
      </c>
      <c r="B559" s="708" t="s">
        <v>805</v>
      </c>
      <c r="C559" s="709"/>
      <c r="D559" s="709"/>
      <c r="E559" s="709"/>
      <c r="F559" s="709"/>
      <c r="G559" s="709"/>
      <c r="H559" s="709"/>
      <c r="I559" s="709"/>
      <c r="J559" s="710"/>
    </row>
    <row r="560" spans="1:10" ht="13.5" customHeight="1">
      <c r="A560" s="77" t="s">
        <v>806</v>
      </c>
      <c r="B560" s="708" t="s">
        <v>807</v>
      </c>
      <c r="C560" s="709"/>
      <c r="D560" s="709"/>
      <c r="E560" s="709"/>
      <c r="F560" s="709"/>
      <c r="G560" s="709"/>
      <c r="H560" s="709"/>
      <c r="I560" s="709"/>
      <c r="J560" s="710"/>
    </row>
    <row r="561" spans="1:10" ht="13.5" customHeight="1">
      <c r="A561" s="77" t="s">
        <v>808</v>
      </c>
      <c r="B561" s="708" t="s">
        <v>809</v>
      </c>
      <c r="C561" s="709"/>
      <c r="D561" s="709"/>
      <c r="E561" s="709"/>
      <c r="F561" s="709"/>
      <c r="G561" s="709"/>
      <c r="H561" s="709"/>
      <c r="I561" s="709"/>
      <c r="J561" s="710"/>
    </row>
    <row r="562" spans="1:10" ht="13.5" customHeight="1">
      <c r="A562" s="77" t="s">
        <v>810</v>
      </c>
      <c r="B562" s="708" t="s">
        <v>811</v>
      </c>
      <c r="C562" s="709"/>
      <c r="D562" s="709"/>
      <c r="E562" s="709"/>
      <c r="F562" s="709"/>
      <c r="G562" s="709"/>
      <c r="H562" s="709"/>
      <c r="I562" s="709"/>
      <c r="J562" s="710"/>
    </row>
    <row r="563" spans="1:10" ht="13.5" customHeight="1">
      <c r="A563" s="77" t="s">
        <v>812</v>
      </c>
      <c r="B563" s="708" t="s">
        <v>813</v>
      </c>
      <c r="C563" s="709"/>
      <c r="D563" s="709"/>
      <c r="E563" s="709"/>
      <c r="F563" s="709"/>
      <c r="G563" s="709"/>
      <c r="H563" s="709"/>
      <c r="I563" s="709"/>
      <c r="J563" s="710"/>
    </row>
    <row r="564" spans="1:10" ht="13.5" customHeight="1">
      <c r="A564" s="77" t="s">
        <v>814</v>
      </c>
      <c r="B564" s="708" t="s">
        <v>815</v>
      </c>
      <c r="C564" s="709"/>
      <c r="D564" s="709"/>
      <c r="E564" s="709"/>
      <c r="F564" s="709"/>
      <c r="G564" s="709"/>
      <c r="H564" s="709"/>
      <c r="I564" s="709"/>
      <c r="J564" s="710"/>
    </row>
    <row r="565" spans="1:10" ht="13.5" customHeight="1">
      <c r="A565" s="77" t="s">
        <v>816</v>
      </c>
      <c r="B565" s="708" t="s">
        <v>817</v>
      </c>
      <c r="C565" s="709"/>
      <c r="D565" s="709"/>
      <c r="E565" s="709"/>
      <c r="F565" s="709"/>
      <c r="G565" s="709"/>
      <c r="H565" s="709"/>
      <c r="I565" s="709"/>
      <c r="J565" s="710"/>
    </row>
    <row r="566" spans="1:10" ht="13.5" customHeight="1">
      <c r="A566" s="77" t="s">
        <v>818</v>
      </c>
      <c r="B566" s="708" t="s">
        <v>819</v>
      </c>
      <c r="C566" s="709"/>
      <c r="D566" s="709"/>
      <c r="E566" s="709"/>
      <c r="F566" s="709"/>
      <c r="G566" s="709"/>
      <c r="H566" s="709"/>
      <c r="I566" s="709"/>
      <c r="J566" s="710"/>
    </row>
    <row r="567" spans="1:10" ht="13.5" customHeight="1">
      <c r="A567" s="77" t="s">
        <v>820</v>
      </c>
      <c r="B567" s="708" t="s">
        <v>821</v>
      </c>
      <c r="C567" s="709"/>
      <c r="D567" s="709"/>
      <c r="E567" s="709"/>
      <c r="F567" s="709"/>
      <c r="G567" s="709"/>
      <c r="H567" s="709"/>
      <c r="I567" s="709"/>
      <c r="J567" s="710"/>
    </row>
    <row r="568" spans="1:10" ht="13.5" customHeight="1">
      <c r="A568" s="77" t="s">
        <v>822</v>
      </c>
      <c r="B568" s="708" t="s">
        <v>823</v>
      </c>
      <c r="C568" s="709"/>
      <c r="D568" s="709"/>
      <c r="E568" s="709"/>
      <c r="F568" s="709"/>
      <c r="G568" s="709"/>
      <c r="H568" s="709"/>
      <c r="I568" s="709"/>
      <c r="J568" s="710"/>
    </row>
    <row r="569" spans="1:10" ht="13.5" customHeight="1">
      <c r="A569" s="77" t="s">
        <v>824</v>
      </c>
      <c r="B569" s="708" t="s">
        <v>825</v>
      </c>
      <c r="C569" s="709"/>
      <c r="D569" s="709"/>
      <c r="E569" s="709"/>
      <c r="F569" s="709"/>
      <c r="G569" s="709"/>
      <c r="H569" s="709"/>
      <c r="I569" s="709"/>
      <c r="J569" s="710"/>
    </row>
    <row r="570" spans="1:10" ht="13.5" customHeight="1">
      <c r="A570" s="77" t="s">
        <v>826</v>
      </c>
      <c r="B570" s="708" t="s">
        <v>827</v>
      </c>
      <c r="C570" s="709"/>
      <c r="D570" s="709"/>
      <c r="E570" s="709"/>
      <c r="F570" s="709"/>
      <c r="G570" s="709"/>
      <c r="H570" s="709"/>
      <c r="I570" s="709"/>
      <c r="J570" s="710"/>
    </row>
    <row r="571" spans="1:10" ht="13.5" customHeight="1">
      <c r="A571" s="77" t="s">
        <v>828</v>
      </c>
      <c r="B571" s="708" t="s">
        <v>829</v>
      </c>
      <c r="C571" s="709"/>
      <c r="D571" s="709"/>
      <c r="E571" s="709"/>
      <c r="F571" s="709"/>
      <c r="G571" s="709"/>
      <c r="H571" s="709"/>
      <c r="I571" s="709"/>
      <c r="J571" s="710"/>
    </row>
    <row r="572" spans="1:10" ht="13.5" customHeight="1">
      <c r="A572" s="77" t="s">
        <v>830</v>
      </c>
      <c r="B572" s="708" t="s">
        <v>831</v>
      </c>
      <c r="C572" s="709"/>
      <c r="D572" s="709"/>
      <c r="E572" s="709"/>
      <c r="F572" s="709"/>
      <c r="G572" s="709"/>
      <c r="H572" s="709"/>
      <c r="I572" s="709"/>
      <c r="J572" s="710"/>
    </row>
    <row r="573" spans="1:10" ht="13.5" customHeight="1">
      <c r="A573" s="77" t="s">
        <v>832</v>
      </c>
      <c r="B573" s="708" t="s">
        <v>833</v>
      </c>
      <c r="C573" s="709"/>
      <c r="D573" s="709"/>
      <c r="E573" s="709"/>
      <c r="F573" s="709"/>
      <c r="G573" s="709"/>
      <c r="H573" s="709"/>
      <c r="I573" s="709"/>
      <c r="J573" s="710"/>
    </row>
    <row r="574" spans="1:10" ht="13.5" customHeight="1">
      <c r="A574" s="77" t="s">
        <v>834</v>
      </c>
      <c r="B574" s="708" t="s">
        <v>835</v>
      </c>
      <c r="C574" s="709"/>
      <c r="D574" s="709"/>
      <c r="E574" s="709"/>
      <c r="F574" s="709"/>
      <c r="G574" s="709"/>
      <c r="H574" s="709"/>
      <c r="I574" s="709"/>
      <c r="J574" s="710"/>
    </row>
    <row r="575" spans="1:10" ht="13.5" customHeight="1">
      <c r="A575" s="77" t="s">
        <v>836</v>
      </c>
      <c r="B575" s="708" t="s">
        <v>837</v>
      </c>
      <c r="C575" s="709"/>
      <c r="D575" s="709"/>
      <c r="E575" s="709"/>
      <c r="F575" s="709"/>
      <c r="G575" s="709"/>
      <c r="H575" s="709"/>
      <c r="I575" s="709"/>
      <c r="J575" s="710"/>
    </row>
    <row r="576" spans="1:10" ht="25.5" customHeight="1">
      <c r="A576" s="77" t="s">
        <v>838</v>
      </c>
      <c r="B576" s="708" t="s">
        <v>2312</v>
      </c>
      <c r="C576" s="709"/>
      <c r="D576" s="709"/>
      <c r="E576" s="709"/>
      <c r="F576" s="709"/>
      <c r="G576" s="709"/>
      <c r="H576" s="709"/>
      <c r="I576" s="709"/>
      <c r="J576" s="710"/>
    </row>
    <row r="577" spans="1:10" ht="13.5" customHeight="1">
      <c r="A577" s="77" t="s">
        <v>2313</v>
      </c>
      <c r="B577" s="708" t="s">
        <v>2372</v>
      </c>
      <c r="C577" s="709"/>
      <c r="D577" s="709"/>
      <c r="E577" s="709"/>
      <c r="F577" s="709"/>
      <c r="G577" s="709"/>
      <c r="H577" s="709"/>
      <c r="I577" s="709"/>
      <c r="J577" s="710"/>
    </row>
    <row r="578" spans="1:10" ht="13.5" customHeight="1">
      <c r="A578" s="77" t="s">
        <v>2373</v>
      </c>
      <c r="B578" s="708" t="s">
        <v>2374</v>
      </c>
      <c r="C578" s="709"/>
      <c r="D578" s="709"/>
      <c r="E578" s="709"/>
      <c r="F578" s="709"/>
      <c r="G578" s="709"/>
      <c r="H578" s="709"/>
      <c r="I578" s="709"/>
      <c r="J578" s="710"/>
    </row>
    <row r="579" spans="1:10" ht="13.5" customHeight="1">
      <c r="A579" s="77" t="s">
        <v>2375</v>
      </c>
      <c r="B579" s="708" t="s">
        <v>2025</v>
      </c>
      <c r="C579" s="709"/>
      <c r="D579" s="709"/>
      <c r="E579" s="709"/>
      <c r="F579" s="709"/>
      <c r="G579" s="709"/>
      <c r="H579" s="709"/>
      <c r="I579" s="709"/>
      <c r="J579" s="710"/>
    </row>
    <row r="580" spans="1:10" ht="13.5" customHeight="1">
      <c r="A580" s="77" t="s">
        <v>2026</v>
      </c>
      <c r="B580" s="708" t="s">
        <v>2027</v>
      </c>
      <c r="C580" s="709"/>
      <c r="D580" s="709"/>
      <c r="E580" s="709"/>
      <c r="F580" s="709"/>
      <c r="G580" s="709"/>
      <c r="H580" s="709"/>
      <c r="I580" s="709"/>
      <c r="J580" s="710"/>
    </row>
    <row r="581" spans="1:10" ht="13.5" customHeight="1">
      <c r="A581" s="77" t="s">
        <v>2028</v>
      </c>
      <c r="B581" s="708" t="s">
        <v>2029</v>
      </c>
      <c r="C581" s="709"/>
      <c r="D581" s="709"/>
      <c r="E581" s="709"/>
      <c r="F581" s="709"/>
      <c r="G581" s="709"/>
      <c r="H581" s="709"/>
      <c r="I581" s="709"/>
      <c r="J581" s="710"/>
    </row>
    <row r="582" spans="1:10" ht="13.5" customHeight="1">
      <c r="A582" s="77" t="s">
        <v>2030</v>
      </c>
      <c r="B582" s="708" t="s">
        <v>2031</v>
      </c>
      <c r="C582" s="709"/>
      <c r="D582" s="709"/>
      <c r="E582" s="709"/>
      <c r="F582" s="709"/>
      <c r="G582" s="709"/>
      <c r="H582" s="709"/>
      <c r="I582" s="709"/>
      <c r="J582" s="710"/>
    </row>
    <row r="583" spans="1:10" ht="13.5" customHeight="1">
      <c r="A583" s="77" t="s">
        <v>2032</v>
      </c>
      <c r="B583" s="708" t="s">
        <v>2033</v>
      </c>
      <c r="C583" s="709"/>
      <c r="D583" s="709"/>
      <c r="E583" s="709"/>
      <c r="F583" s="709"/>
      <c r="G583" s="709"/>
      <c r="H583" s="709"/>
      <c r="I583" s="709"/>
      <c r="J583" s="710"/>
    </row>
    <row r="584" spans="1:10" ht="13.5" customHeight="1">
      <c r="A584" s="77" t="s">
        <v>2034</v>
      </c>
      <c r="B584" s="708" t="s">
        <v>2035</v>
      </c>
      <c r="C584" s="709"/>
      <c r="D584" s="709"/>
      <c r="E584" s="709"/>
      <c r="F584" s="709"/>
      <c r="G584" s="709"/>
      <c r="H584" s="709"/>
      <c r="I584" s="709"/>
      <c r="J584" s="710"/>
    </row>
    <row r="585" spans="1:10" ht="13.5" customHeight="1">
      <c r="A585" s="77" t="s">
        <v>2036</v>
      </c>
      <c r="B585" s="708" t="s">
        <v>2037</v>
      </c>
      <c r="C585" s="709"/>
      <c r="D585" s="709"/>
      <c r="E585" s="709"/>
      <c r="F585" s="709"/>
      <c r="G585" s="709"/>
      <c r="H585" s="709"/>
      <c r="I585" s="709"/>
      <c r="J585" s="710"/>
    </row>
    <row r="586" spans="1:10" ht="13.5" customHeight="1">
      <c r="A586" s="77" t="s">
        <v>2038</v>
      </c>
      <c r="B586" s="708" t="s">
        <v>2039</v>
      </c>
      <c r="C586" s="709"/>
      <c r="D586" s="709"/>
      <c r="E586" s="709"/>
      <c r="F586" s="709"/>
      <c r="G586" s="709"/>
      <c r="H586" s="709"/>
      <c r="I586" s="709"/>
      <c r="J586" s="710"/>
    </row>
    <row r="587" spans="1:10" ht="13.5" customHeight="1">
      <c r="A587" s="77" t="s">
        <v>2040</v>
      </c>
      <c r="B587" s="708" t="s">
        <v>2041</v>
      </c>
      <c r="C587" s="709"/>
      <c r="D587" s="709"/>
      <c r="E587" s="709"/>
      <c r="F587" s="709"/>
      <c r="G587" s="709"/>
      <c r="H587" s="709"/>
      <c r="I587" s="709"/>
      <c r="J587" s="710"/>
    </row>
    <row r="588" spans="1:10" ht="13.5" customHeight="1">
      <c r="A588" s="77" t="s">
        <v>2042</v>
      </c>
      <c r="B588" s="708" t="s">
        <v>2043</v>
      </c>
      <c r="C588" s="709"/>
      <c r="D588" s="709"/>
      <c r="E588" s="709"/>
      <c r="F588" s="709"/>
      <c r="G588" s="709"/>
      <c r="H588" s="709"/>
      <c r="I588" s="709"/>
      <c r="J588" s="710"/>
    </row>
    <row r="589" spans="1:10" ht="13.5" customHeight="1">
      <c r="A589" s="77" t="s">
        <v>2044</v>
      </c>
      <c r="B589" s="708" t="s">
        <v>2045</v>
      </c>
      <c r="C589" s="709"/>
      <c r="D589" s="709"/>
      <c r="E589" s="709"/>
      <c r="F589" s="709"/>
      <c r="G589" s="709"/>
      <c r="H589" s="709"/>
      <c r="I589" s="709"/>
      <c r="J589" s="710"/>
    </row>
    <row r="590" spans="1:10" ht="13.5" customHeight="1">
      <c r="A590" s="77" t="s">
        <v>2046</v>
      </c>
      <c r="B590" s="708" t="s">
        <v>2047</v>
      </c>
      <c r="C590" s="709"/>
      <c r="D590" s="709"/>
      <c r="E590" s="709"/>
      <c r="F590" s="709"/>
      <c r="G590" s="709"/>
      <c r="H590" s="709"/>
      <c r="I590" s="709"/>
      <c r="J590" s="710"/>
    </row>
    <row r="591" spans="1:10" ht="13.5" customHeight="1">
      <c r="A591" s="77" t="s">
        <v>2048</v>
      </c>
      <c r="B591" s="708" t="s">
        <v>2049</v>
      </c>
      <c r="C591" s="709"/>
      <c r="D591" s="709"/>
      <c r="E591" s="709"/>
      <c r="F591" s="709"/>
      <c r="G591" s="709"/>
      <c r="H591" s="709"/>
      <c r="I591" s="709"/>
      <c r="J591" s="710"/>
    </row>
    <row r="592" spans="1:10" ht="13.5" customHeight="1">
      <c r="A592" s="77" t="s">
        <v>2050</v>
      </c>
      <c r="B592" s="708" t="s">
        <v>2051</v>
      </c>
      <c r="C592" s="709"/>
      <c r="D592" s="709"/>
      <c r="E592" s="709"/>
      <c r="F592" s="709"/>
      <c r="G592" s="709"/>
      <c r="H592" s="709"/>
      <c r="I592" s="709"/>
      <c r="J592" s="710"/>
    </row>
    <row r="593" spans="1:10" ht="13.5" customHeight="1">
      <c r="A593" s="77" t="s">
        <v>2052</v>
      </c>
      <c r="B593" s="708" t="s">
        <v>2053</v>
      </c>
      <c r="C593" s="709"/>
      <c r="D593" s="709"/>
      <c r="E593" s="709"/>
      <c r="F593" s="709"/>
      <c r="G593" s="709"/>
      <c r="H593" s="709"/>
      <c r="I593" s="709"/>
      <c r="J593" s="710"/>
    </row>
    <row r="594" spans="1:10" ht="13.5" customHeight="1">
      <c r="A594" s="77" t="s">
        <v>2054</v>
      </c>
      <c r="B594" s="708" t="s">
        <v>2055</v>
      </c>
      <c r="C594" s="709"/>
      <c r="D594" s="709"/>
      <c r="E594" s="709"/>
      <c r="F594" s="709"/>
      <c r="G594" s="709"/>
      <c r="H594" s="709"/>
      <c r="I594" s="709"/>
      <c r="J594" s="710"/>
    </row>
    <row r="595" spans="1:10" ht="13.5" customHeight="1">
      <c r="A595" s="77" t="s">
        <v>2056</v>
      </c>
      <c r="B595" s="708" t="s">
        <v>2057</v>
      </c>
      <c r="C595" s="709"/>
      <c r="D595" s="709"/>
      <c r="E595" s="709"/>
      <c r="F595" s="709"/>
      <c r="G595" s="709"/>
      <c r="H595" s="709"/>
      <c r="I595" s="709"/>
      <c r="J595" s="710"/>
    </row>
    <row r="596" spans="1:10" ht="13.5" customHeight="1">
      <c r="A596" s="77" t="s">
        <v>2058</v>
      </c>
      <c r="B596" s="708" t="s">
        <v>274</v>
      </c>
      <c r="C596" s="709"/>
      <c r="D596" s="709"/>
      <c r="E596" s="709"/>
      <c r="F596" s="709"/>
      <c r="G596" s="709"/>
      <c r="H596" s="709"/>
      <c r="I596" s="709"/>
      <c r="J596" s="710"/>
    </row>
    <row r="597" spans="1:10" ht="13.5" customHeight="1">
      <c r="A597" s="77" t="s">
        <v>275</v>
      </c>
      <c r="B597" s="708" t="s">
        <v>1223</v>
      </c>
      <c r="C597" s="709"/>
      <c r="D597" s="709"/>
      <c r="E597" s="709"/>
      <c r="F597" s="709"/>
      <c r="G597" s="709"/>
      <c r="H597" s="709"/>
      <c r="I597" s="709"/>
      <c r="J597" s="710"/>
    </row>
    <row r="598" spans="1:10" ht="13.5" customHeight="1">
      <c r="A598" s="77" t="s">
        <v>1224</v>
      </c>
      <c r="B598" s="708" t="s">
        <v>1225</v>
      </c>
      <c r="C598" s="709"/>
      <c r="D598" s="709"/>
      <c r="E598" s="709"/>
      <c r="F598" s="709"/>
      <c r="G598" s="709"/>
      <c r="H598" s="709"/>
      <c r="I598" s="709"/>
      <c r="J598" s="710"/>
    </row>
    <row r="599" spans="1:10" ht="13.5" customHeight="1">
      <c r="A599" s="77" t="s">
        <v>1226</v>
      </c>
      <c r="B599" s="708" t="s">
        <v>1227</v>
      </c>
      <c r="C599" s="709"/>
      <c r="D599" s="709"/>
      <c r="E599" s="709"/>
      <c r="F599" s="709"/>
      <c r="G599" s="709"/>
      <c r="H599" s="709"/>
      <c r="I599" s="709"/>
      <c r="J599" s="710"/>
    </row>
    <row r="600" spans="1:10" ht="13.5" customHeight="1">
      <c r="A600" s="77" t="s">
        <v>1228</v>
      </c>
      <c r="B600" s="708" t="s">
        <v>1229</v>
      </c>
      <c r="C600" s="709"/>
      <c r="D600" s="709"/>
      <c r="E600" s="709"/>
      <c r="F600" s="709"/>
      <c r="G600" s="709"/>
      <c r="H600" s="709"/>
      <c r="I600" s="709"/>
      <c r="J600" s="710"/>
    </row>
    <row r="601" spans="1:10" ht="13.5" customHeight="1">
      <c r="A601" s="77" t="s">
        <v>1109</v>
      </c>
      <c r="B601" s="708" t="s">
        <v>1110</v>
      </c>
      <c r="C601" s="709"/>
      <c r="D601" s="709"/>
      <c r="E601" s="709"/>
      <c r="F601" s="709"/>
      <c r="G601" s="709"/>
      <c r="H601" s="709"/>
      <c r="I601" s="709"/>
      <c r="J601" s="710"/>
    </row>
    <row r="602" spans="1:10" ht="13.5" customHeight="1">
      <c r="A602" s="77" t="s">
        <v>1111</v>
      </c>
      <c r="B602" s="708" t="s">
        <v>1112</v>
      </c>
      <c r="C602" s="709"/>
      <c r="D602" s="709"/>
      <c r="E602" s="709"/>
      <c r="F602" s="709"/>
      <c r="G602" s="709"/>
      <c r="H602" s="709"/>
      <c r="I602" s="709"/>
      <c r="J602" s="710"/>
    </row>
    <row r="603" spans="1:10" ht="13.5" customHeight="1">
      <c r="A603" s="77" t="s">
        <v>1113</v>
      </c>
      <c r="B603" s="708" t="s">
        <v>1114</v>
      </c>
      <c r="C603" s="709"/>
      <c r="D603" s="709"/>
      <c r="E603" s="709"/>
      <c r="F603" s="709"/>
      <c r="G603" s="709"/>
      <c r="H603" s="709"/>
      <c r="I603" s="709"/>
      <c r="J603" s="710"/>
    </row>
    <row r="604" spans="1:10" ht="13.5" customHeight="1">
      <c r="A604" s="77" t="s">
        <v>1115</v>
      </c>
      <c r="B604" s="708" t="s">
        <v>1116</v>
      </c>
      <c r="C604" s="709"/>
      <c r="D604" s="709"/>
      <c r="E604" s="709"/>
      <c r="F604" s="709"/>
      <c r="G604" s="709"/>
      <c r="H604" s="709"/>
      <c r="I604" s="709"/>
      <c r="J604" s="710"/>
    </row>
    <row r="605" spans="1:10" ht="13.5" customHeight="1">
      <c r="A605" s="77" t="s">
        <v>1117</v>
      </c>
      <c r="B605" s="708" t="s">
        <v>1118</v>
      </c>
      <c r="C605" s="709"/>
      <c r="D605" s="709"/>
      <c r="E605" s="709"/>
      <c r="F605" s="709"/>
      <c r="G605" s="709"/>
      <c r="H605" s="709"/>
      <c r="I605" s="709"/>
      <c r="J605" s="710"/>
    </row>
    <row r="606" spans="1:10" ht="13.5" customHeight="1">
      <c r="A606" s="77" t="s">
        <v>1119</v>
      </c>
      <c r="B606" s="708" t="s">
        <v>770</v>
      </c>
      <c r="C606" s="709"/>
      <c r="D606" s="709"/>
      <c r="E606" s="709"/>
      <c r="F606" s="709"/>
      <c r="G606" s="709"/>
      <c r="H606" s="709"/>
      <c r="I606" s="709"/>
      <c r="J606" s="710"/>
    </row>
    <row r="607" spans="1:10" ht="13.5" customHeight="1">
      <c r="A607" s="77" t="s">
        <v>771</v>
      </c>
      <c r="B607" s="708" t="s">
        <v>772</v>
      </c>
      <c r="C607" s="709"/>
      <c r="D607" s="709"/>
      <c r="E607" s="709"/>
      <c r="F607" s="709"/>
      <c r="G607" s="709"/>
      <c r="H607" s="709"/>
      <c r="I607" s="709"/>
      <c r="J607" s="710"/>
    </row>
    <row r="608" spans="1:10" ht="13.5" customHeight="1">
      <c r="A608" s="77" t="s">
        <v>773</v>
      </c>
      <c r="B608" s="708" t="s">
        <v>774</v>
      </c>
      <c r="C608" s="709"/>
      <c r="D608" s="709"/>
      <c r="E608" s="709"/>
      <c r="F608" s="709"/>
      <c r="G608" s="709"/>
      <c r="H608" s="709"/>
      <c r="I608" s="709"/>
      <c r="J608" s="710"/>
    </row>
    <row r="609" spans="1:10" ht="13.5" customHeight="1">
      <c r="A609" s="77" t="s">
        <v>775</v>
      </c>
      <c r="B609" s="708" t="s">
        <v>776</v>
      </c>
      <c r="C609" s="709"/>
      <c r="D609" s="709"/>
      <c r="E609" s="709"/>
      <c r="F609" s="709"/>
      <c r="G609" s="709"/>
      <c r="H609" s="709"/>
      <c r="I609" s="709"/>
      <c r="J609" s="710"/>
    </row>
    <row r="610" spans="1:10" ht="13.5" customHeight="1">
      <c r="A610" s="77" t="s">
        <v>777</v>
      </c>
      <c r="B610" s="708" t="s">
        <v>778</v>
      </c>
      <c r="C610" s="709"/>
      <c r="D610" s="709"/>
      <c r="E610" s="709"/>
      <c r="F610" s="709"/>
      <c r="G610" s="709"/>
      <c r="H610" s="709"/>
      <c r="I610" s="709"/>
      <c r="J610" s="710"/>
    </row>
    <row r="611" spans="1:10" ht="13.5" customHeight="1">
      <c r="A611" s="77" t="s">
        <v>779</v>
      </c>
      <c r="B611" s="708" t="s">
        <v>971</v>
      </c>
      <c r="C611" s="709"/>
      <c r="D611" s="709"/>
      <c r="E611" s="709"/>
      <c r="F611" s="709"/>
      <c r="G611" s="709"/>
      <c r="H611" s="709"/>
      <c r="I611" s="709"/>
      <c r="J611" s="710"/>
    </row>
    <row r="612" spans="1:10" ht="13.5" customHeight="1">
      <c r="A612" s="77" t="s">
        <v>972</v>
      </c>
      <c r="B612" s="708" t="s">
        <v>973</v>
      </c>
      <c r="C612" s="709"/>
      <c r="D612" s="709"/>
      <c r="E612" s="709"/>
      <c r="F612" s="709"/>
      <c r="G612" s="709"/>
      <c r="H612" s="709"/>
      <c r="I612" s="709"/>
      <c r="J612" s="710"/>
    </row>
    <row r="613" spans="1:10" ht="13.5" customHeight="1">
      <c r="A613" s="77" t="s">
        <v>974</v>
      </c>
      <c r="B613" s="708" t="s">
        <v>975</v>
      </c>
      <c r="C613" s="709"/>
      <c r="D613" s="709"/>
      <c r="E613" s="709"/>
      <c r="F613" s="709"/>
      <c r="G613" s="709"/>
      <c r="H613" s="709"/>
      <c r="I613" s="709"/>
      <c r="J613" s="710"/>
    </row>
    <row r="614" spans="1:10" ht="13.5" customHeight="1">
      <c r="A614" s="77" t="s">
        <v>976</v>
      </c>
      <c r="B614" s="708" t="s">
        <v>977</v>
      </c>
      <c r="C614" s="709"/>
      <c r="D614" s="709"/>
      <c r="E614" s="709"/>
      <c r="F614" s="709"/>
      <c r="G614" s="709"/>
      <c r="H614" s="709"/>
      <c r="I614" s="709"/>
      <c r="J614" s="710"/>
    </row>
    <row r="615" spans="1:10" ht="13.5" customHeight="1">
      <c r="A615" s="77" t="s">
        <v>978</v>
      </c>
      <c r="B615" s="708" t="s">
        <v>979</v>
      </c>
      <c r="C615" s="709"/>
      <c r="D615" s="709"/>
      <c r="E615" s="709"/>
      <c r="F615" s="709"/>
      <c r="G615" s="709"/>
      <c r="H615" s="709"/>
      <c r="I615" s="709"/>
      <c r="J615" s="710"/>
    </row>
    <row r="616" spans="1:10" ht="13.5" customHeight="1">
      <c r="A616" s="77" t="s">
        <v>980</v>
      </c>
      <c r="B616" s="708" t="s">
        <v>981</v>
      </c>
      <c r="C616" s="709"/>
      <c r="D616" s="709"/>
      <c r="E616" s="709"/>
      <c r="F616" s="709"/>
      <c r="G616" s="709"/>
      <c r="H616" s="709"/>
      <c r="I616" s="709"/>
      <c r="J616" s="710"/>
    </row>
    <row r="617" spans="1:10" ht="13.5" customHeight="1">
      <c r="A617" s="77" t="s">
        <v>982</v>
      </c>
      <c r="B617" s="708" t="s">
        <v>983</v>
      </c>
      <c r="C617" s="709"/>
      <c r="D617" s="709"/>
      <c r="E617" s="709"/>
      <c r="F617" s="709"/>
      <c r="G617" s="709"/>
      <c r="H617" s="709"/>
      <c r="I617" s="709"/>
      <c r="J617" s="710"/>
    </row>
    <row r="618" spans="1:10" ht="13.5" customHeight="1">
      <c r="A618" s="77" t="s">
        <v>984</v>
      </c>
      <c r="B618" s="708" t="s">
        <v>985</v>
      </c>
      <c r="C618" s="709"/>
      <c r="D618" s="709"/>
      <c r="E618" s="709"/>
      <c r="F618" s="709"/>
      <c r="G618" s="709"/>
      <c r="H618" s="709"/>
      <c r="I618" s="709"/>
      <c r="J618" s="710"/>
    </row>
    <row r="619" spans="1:10" ht="13.5" customHeight="1">
      <c r="A619" s="78" t="s">
        <v>986</v>
      </c>
      <c r="B619" s="714" t="s">
        <v>987</v>
      </c>
      <c r="C619" s="715"/>
      <c r="D619" s="715"/>
      <c r="E619" s="715"/>
      <c r="F619" s="715"/>
      <c r="G619" s="715"/>
      <c r="H619" s="715"/>
      <c r="I619" s="715"/>
      <c r="J619" s="716"/>
    </row>
    <row r="620" ht="4.5" customHeight="1"/>
  </sheetData>
  <sheetProtection password="C79A" sheet="1" objects="1"/>
  <mergeCells count="618">
    <mergeCell ref="B609:J609"/>
    <mergeCell ref="B610:J610"/>
    <mergeCell ref="B611:J611"/>
    <mergeCell ref="B604:J604"/>
    <mergeCell ref="B605:J605"/>
    <mergeCell ref="B619:J619"/>
    <mergeCell ref="B612:J612"/>
    <mergeCell ref="B613:J613"/>
    <mergeCell ref="B614:J614"/>
    <mergeCell ref="B615:J615"/>
    <mergeCell ref="A1:B2"/>
    <mergeCell ref="B616:J616"/>
    <mergeCell ref="B617:J617"/>
    <mergeCell ref="B618:J618"/>
    <mergeCell ref="B608:J608"/>
    <mergeCell ref="B597:J597"/>
    <mergeCell ref="B598:J598"/>
    <mergeCell ref="B599:J599"/>
    <mergeCell ref="B606:J606"/>
    <mergeCell ref="B607:J607"/>
    <mergeCell ref="B600:J600"/>
    <mergeCell ref="B601:J601"/>
    <mergeCell ref="B602:J602"/>
    <mergeCell ref="B603:J603"/>
    <mergeCell ref="B591:J591"/>
    <mergeCell ref="B592:J592"/>
    <mergeCell ref="B593:J593"/>
    <mergeCell ref="B594:J594"/>
    <mergeCell ref="B595:J595"/>
    <mergeCell ref="B596:J596"/>
    <mergeCell ref="B585:J585"/>
    <mergeCell ref="B586:J586"/>
    <mergeCell ref="B587:J587"/>
    <mergeCell ref="B588:J588"/>
    <mergeCell ref="B589:J589"/>
    <mergeCell ref="B590:J590"/>
    <mergeCell ref="B579:J579"/>
    <mergeCell ref="B580:J580"/>
    <mergeCell ref="B581:J581"/>
    <mergeCell ref="B582:J582"/>
    <mergeCell ref="B583:J583"/>
    <mergeCell ref="B584:J584"/>
    <mergeCell ref="B573:J573"/>
    <mergeCell ref="B574:J574"/>
    <mergeCell ref="B575:J575"/>
    <mergeCell ref="B576:J576"/>
    <mergeCell ref="B577:J577"/>
    <mergeCell ref="B578:J578"/>
    <mergeCell ref="B567:J567"/>
    <mergeCell ref="B568:J568"/>
    <mergeCell ref="B569:J569"/>
    <mergeCell ref="B570:J570"/>
    <mergeCell ref="B571:J571"/>
    <mergeCell ref="B572:J572"/>
    <mergeCell ref="B561:J561"/>
    <mergeCell ref="B562:J562"/>
    <mergeCell ref="B563:J563"/>
    <mergeCell ref="B564:J564"/>
    <mergeCell ref="B565:J565"/>
    <mergeCell ref="B566:J566"/>
    <mergeCell ref="B555:J555"/>
    <mergeCell ref="B556:J556"/>
    <mergeCell ref="B557:J557"/>
    <mergeCell ref="B558:J558"/>
    <mergeCell ref="B559:J559"/>
    <mergeCell ref="B560:J560"/>
    <mergeCell ref="B549:J549"/>
    <mergeCell ref="B550:J550"/>
    <mergeCell ref="B551:J551"/>
    <mergeCell ref="B552:J552"/>
    <mergeCell ref="B553:J553"/>
    <mergeCell ref="B554:J554"/>
    <mergeCell ref="B543:J543"/>
    <mergeCell ref="B544:J544"/>
    <mergeCell ref="B545:J545"/>
    <mergeCell ref="B546:J546"/>
    <mergeCell ref="B547:J547"/>
    <mergeCell ref="B548:J548"/>
    <mergeCell ref="B537:J537"/>
    <mergeCell ref="B538:J538"/>
    <mergeCell ref="B539:J539"/>
    <mergeCell ref="B540:J540"/>
    <mergeCell ref="B541:J541"/>
    <mergeCell ref="B542:J542"/>
    <mergeCell ref="B531:J531"/>
    <mergeCell ref="B532:J532"/>
    <mergeCell ref="B533:J533"/>
    <mergeCell ref="B534:J534"/>
    <mergeCell ref="B535:J535"/>
    <mergeCell ref="B536:J536"/>
    <mergeCell ref="B525:J525"/>
    <mergeCell ref="B526:J526"/>
    <mergeCell ref="B527:J527"/>
    <mergeCell ref="B528:J528"/>
    <mergeCell ref="B529:J529"/>
    <mergeCell ref="B530:J530"/>
    <mergeCell ref="B519:J519"/>
    <mergeCell ref="B520:J520"/>
    <mergeCell ref="B521:J521"/>
    <mergeCell ref="B522:J522"/>
    <mergeCell ref="B523:J523"/>
    <mergeCell ref="B524:J524"/>
    <mergeCell ref="B513:J513"/>
    <mergeCell ref="B514:J514"/>
    <mergeCell ref="B515:J515"/>
    <mergeCell ref="B516:J516"/>
    <mergeCell ref="B517:J517"/>
    <mergeCell ref="B518:J518"/>
    <mergeCell ref="B507:J507"/>
    <mergeCell ref="B508:J508"/>
    <mergeCell ref="B509:J509"/>
    <mergeCell ref="B510:J510"/>
    <mergeCell ref="B511:J511"/>
    <mergeCell ref="B512:J512"/>
    <mergeCell ref="B501:J501"/>
    <mergeCell ref="B502:J502"/>
    <mergeCell ref="B503:J503"/>
    <mergeCell ref="B504:J504"/>
    <mergeCell ref="B505:J505"/>
    <mergeCell ref="B506:J506"/>
    <mergeCell ref="B495:J495"/>
    <mergeCell ref="B496:J496"/>
    <mergeCell ref="B497:J497"/>
    <mergeCell ref="B498:J498"/>
    <mergeCell ref="B499:J499"/>
    <mergeCell ref="B500:J500"/>
    <mergeCell ref="B489:J489"/>
    <mergeCell ref="B490:J490"/>
    <mergeCell ref="B491:J491"/>
    <mergeCell ref="B492:J492"/>
    <mergeCell ref="B493:J493"/>
    <mergeCell ref="B494:J494"/>
    <mergeCell ref="B483:J483"/>
    <mergeCell ref="B484:J484"/>
    <mergeCell ref="B485:J485"/>
    <mergeCell ref="B486:J486"/>
    <mergeCell ref="B487:J487"/>
    <mergeCell ref="B488:J488"/>
    <mergeCell ref="B477:J477"/>
    <mergeCell ref="B478:J478"/>
    <mergeCell ref="B479:J479"/>
    <mergeCell ref="B480:J480"/>
    <mergeCell ref="B481:J481"/>
    <mergeCell ref="B482:J482"/>
    <mergeCell ref="B471:J471"/>
    <mergeCell ref="B472:J472"/>
    <mergeCell ref="B473:J473"/>
    <mergeCell ref="B474:J474"/>
    <mergeCell ref="B475:J475"/>
    <mergeCell ref="B476:J476"/>
    <mergeCell ref="B465:J465"/>
    <mergeCell ref="B466:J466"/>
    <mergeCell ref="B467:J467"/>
    <mergeCell ref="B468:J468"/>
    <mergeCell ref="B469:J469"/>
    <mergeCell ref="B470:J470"/>
    <mergeCell ref="B459:J459"/>
    <mergeCell ref="B460:J460"/>
    <mergeCell ref="B461:J461"/>
    <mergeCell ref="B462:J462"/>
    <mergeCell ref="B463:J463"/>
    <mergeCell ref="B464:J464"/>
    <mergeCell ref="B453:J453"/>
    <mergeCell ref="B454:J454"/>
    <mergeCell ref="B455:J455"/>
    <mergeCell ref="B456:J456"/>
    <mergeCell ref="B457:J457"/>
    <mergeCell ref="B458:J458"/>
    <mergeCell ref="B447:J447"/>
    <mergeCell ref="B448:J448"/>
    <mergeCell ref="B449:J449"/>
    <mergeCell ref="B450:J450"/>
    <mergeCell ref="B451:J451"/>
    <mergeCell ref="B452:J452"/>
    <mergeCell ref="B441:J441"/>
    <mergeCell ref="B442:J442"/>
    <mergeCell ref="B443:J443"/>
    <mergeCell ref="B444:J444"/>
    <mergeCell ref="B445:J445"/>
    <mergeCell ref="B446:J446"/>
    <mergeCell ref="B435:J435"/>
    <mergeCell ref="B436:J436"/>
    <mergeCell ref="B437:J437"/>
    <mergeCell ref="B438:J438"/>
    <mergeCell ref="B439:J439"/>
    <mergeCell ref="B440:J440"/>
    <mergeCell ref="B429:J429"/>
    <mergeCell ref="B430:J430"/>
    <mergeCell ref="B431:J431"/>
    <mergeCell ref="B432:J432"/>
    <mergeCell ref="B433:J433"/>
    <mergeCell ref="B434:J434"/>
    <mergeCell ref="B423:J423"/>
    <mergeCell ref="B424:J424"/>
    <mergeCell ref="B425:J425"/>
    <mergeCell ref="B426:J426"/>
    <mergeCell ref="B427:J427"/>
    <mergeCell ref="B428:J428"/>
    <mergeCell ref="B417:J417"/>
    <mergeCell ref="B418:J418"/>
    <mergeCell ref="B419:J419"/>
    <mergeCell ref="B420:J420"/>
    <mergeCell ref="B421:J421"/>
    <mergeCell ref="B422:J422"/>
    <mergeCell ref="B411:J411"/>
    <mergeCell ref="B412:J412"/>
    <mergeCell ref="B413:J413"/>
    <mergeCell ref="B414:J414"/>
    <mergeCell ref="B415:J415"/>
    <mergeCell ref="B416:J416"/>
    <mergeCell ref="B405:J405"/>
    <mergeCell ref="B406:J406"/>
    <mergeCell ref="B407:J407"/>
    <mergeCell ref="B408:J408"/>
    <mergeCell ref="B409:J409"/>
    <mergeCell ref="B410:J410"/>
    <mergeCell ref="B399:J399"/>
    <mergeCell ref="B400:J400"/>
    <mergeCell ref="B401:J401"/>
    <mergeCell ref="B402:J402"/>
    <mergeCell ref="B403:J403"/>
    <mergeCell ref="B404:J404"/>
    <mergeCell ref="B393:J393"/>
    <mergeCell ref="B394:J394"/>
    <mergeCell ref="B395:J395"/>
    <mergeCell ref="B396:J396"/>
    <mergeCell ref="B397:J397"/>
    <mergeCell ref="B398:J398"/>
    <mergeCell ref="B387:J387"/>
    <mergeCell ref="B388:J388"/>
    <mergeCell ref="B389:J389"/>
    <mergeCell ref="B390:J390"/>
    <mergeCell ref="B391:J391"/>
    <mergeCell ref="B392:J392"/>
    <mergeCell ref="B381:J381"/>
    <mergeCell ref="B382:J382"/>
    <mergeCell ref="B383:J383"/>
    <mergeCell ref="B384:J384"/>
    <mergeCell ref="B385:J385"/>
    <mergeCell ref="B386:J386"/>
    <mergeCell ref="B375:J375"/>
    <mergeCell ref="B376:J376"/>
    <mergeCell ref="B377:J377"/>
    <mergeCell ref="B378:J378"/>
    <mergeCell ref="B379:J379"/>
    <mergeCell ref="B380:J380"/>
    <mergeCell ref="B369:J369"/>
    <mergeCell ref="B370:J370"/>
    <mergeCell ref="B371:J371"/>
    <mergeCell ref="B372:J372"/>
    <mergeCell ref="B373:J373"/>
    <mergeCell ref="B374:J374"/>
    <mergeCell ref="B363:J363"/>
    <mergeCell ref="B364:J364"/>
    <mergeCell ref="B365:J365"/>
    <mergeCell ref="B366:J366"/>
    <mergeCell ref="B367:J367"/>
    <mergeCell ref="B368:J368"/>
    <mergeCell ref="B357:J357"/>
    <mergeCell ref="B358:J358"/>
    <mergeCell ref="B359:J359"/>
    <mergeCell ref="B360:J360"/>
    <mergeCell ref="B361:J361"/>
    <mergeCell ref="B362:J362"/>
    <mergeCell ref="B351:J351"/>
    <mergeCell ref="B352:J352"/>
    <mergeCell ref="B353:J353"/>
    <mergeCell ref="B354:J354"/>
    <mergeCell ref="B355:J355"/>
    <mergeCell ref="B356:J356"/>
    <mergeCell ref="B345:J345"/>
    <mergeCell ref="B346:J346"/>
    <mergeCell ref="B347:J347"/>
    <mergeCell ref="B348:J348"/>
    <mergeCell ref="B349:J349"/>
    <mergeCell ref="B350:J350"/>
    <mergeCell ref="B339:J339"/>
    <mergeCell ref="B340:J340"/>
    <mergeCell ref="B341:J341"/>
    <mergeCell ref="B342:J342"/>
    <mergeCell ref="B343:J343"/>
    <mergeCell ref="B344:J344"/>
    <mergeCell ref="B333:J333"/>
    <mergeCell ref="B334:J334"/>
    <mergeCell ref="B335:J335"/>
    <mergeCell ref="B336:J336"/>
    <mergeCell ref="B337:J337"/>
    <mergeCell ref="B338:J338"/>
    <mergeCell ref="B327:J327"/>
    <mergeCell ref="B328:J328"/>
    <mergeCell ref="B329:J329"/>
    <mergeCell ref="B330:J330"/>
    <mergeCell ref="B331:J331"/>
    <mergeCell ref="B332:J332"/>
    <mergeCell ref="B321:J321"/>
    <mergeCell ref="B322:J322"/>
    <mergeCell ref="B323:J323"/>
    <mergeCell ref="B324:J324"/>
    <mergeCell ref="B325:J325"/>
    <mergeCell ref="B326:J326"/>
    <mergeCell ref="B315:J315"/>
    <mergeCell ref="B316:J316"/>
    <mergeCell ref="B317:J317"/>
    <mergeCell ref="B318:J318"/>
    <mergeCell ref="B319:J319"/>
    <mergeCell ref="B320:J320"/>
    <mergeCell ref="B309:J309"/>
    <mergeCell ref="B310:J310"/>
    <mergeCell ref="B311:J311"/>
    <mergeCell ref="B312:J312"/>
    <mergeCell ref="B313:J313"/>
    <mergeCell ref="B314:J314"/>
    <mergeCell ref="B303:J303"/>
    <mergeCell ref="B304:J304"/>
    <mergeCell ref="B305:J305"/>
    <mergeCell ref="B306:J306"/>
    <mergeCell ref="B307:J307"/>
    <mergeCell ref="B308:J308"/>
    <mergeCell ref="B297:J297"/>
    <mergeCell ref="B298:J298"/>
    <mergeCell ref="B299:J299"/>
    <mergeCell ref="B300:J300"/>
    <mergeCell ref="B301:J301"/>
    <mergeCell ref="B302:J302"/>
    <mergeCell ref="B291:J291"/>
    <mergeCell ref="B292:J292"/>
    <mergeCell ref="B293:J293"/>
    <mergeCell ref="B294:J294"/>
    <mergeCell ref="B295:J295"/>
    <mergeCell ref="B296:J296"/>
    <mergeCell ref="B285:J285"/>
    <mergeCell ref="B286:J286"/>
    <mergeCell ref="B287:J287"/>
    <mergeCell ref="B288:J288"/>
    <mergeCell ref="B289:J289"/>
    <mergeCell ref="B290:J290"/>
    <mergeCell ref="B279:J279"/>
    <mergeCell ref="B280:J280"/>
    <mergeCell ref="B281:J281"/>
    <mergeCell ref="B282:J282"/>
    <mergeCell ref="B283:J283"/>
    <mergeCell ref="B284:J284"/>
    <mergeCell ref="B273:J273"/>
    <mergeCell ref="B274:J274"/>
    <mergeCell ref="B275:J275"/>
    <mergeCell ref="B276:J276"/>
    <mergeCell ref="B277:J277"/>
    <mergeCell ref="B278:J278"/>
    <mergeCell ref="B267:J267"/>
    <mergeCell ref="B268:J268"/>
    <mergeCell ref="B269:J269"/>
    <mergeCell ref="B270:J270"/>
    <mergeCell ref="B271:J271"/>
    <mergeCell ref="B272:J272"/>
    <mergeCell ref="B261:J261"/>
    <mergeCell ref="B262:J262"/>
    <mergeCell ref="B263:J263"/>
    <mergeCell ref="B264:J264"/>
    <mergeCell ref="B265:J265"/>
    <mergeCell ref="B266:J266"/>
    <mergeCell ref="B255:J255"/>
    <mergeCell ref="B256:J256"/>
    <mergeCell ref="B257:J257"/>
    <mergeCell ref="B258:J258"/>
    <mergeCell ref="B259:J259"/>
    <mergeCell ref="B260:J260"/>
    <mergeCell ref="B249:J249"/>
    <mergeCell ref="B250:J250"/>
    <mergeCell ref="B251:J251"/>
    <mergeCell ref="B252:J252"/>
    <mergeCell ref="B253:J253"/>
    <mergeCell ref="B254:J254"/>
    <mergeCell ref="B243:J243"/>
    <mergeCell ref="B244:J244"/>
    <mergeCell ref="B245:J245"/>
    <mergeCell ref="B246:J246"/>
    <mergeCell ref="B247:J247"/>
    <mergeCell ref="B248:J248"/>
    <mergeCell ref="B237:J237"/>
    <mergeCell ref="B238:J238"/>
    <mergeCell ref="B239:J239"/>
    <mergeCell ref="B240:J240"/>
    <mergeCell ref="B241:J241"/>
    <mergeCell ref="B242:J242"/>
    <mergeCell ref="B231:J231"/>
    <mergeCell ref="B232:J232"/>
    <mergeCell ref="B233:J233"/>
    <mergeCell ref="B234:J234"/>
    <mergeCell ref="B235:J235"/>
    <mergeCell ref="B236:J236"/>
    <mergeCell ref="B225:J225"/>
    <mergeCell ref="B226:J226"/>
    <mergeCell ref="B227:J227"/>
    <mergeCell ref="B228:J228"/>
    <mergeCell ref="B229:J229"/>
    <mergeCell ref="B230:J230"/>
    <mergeCell ref="B219:J219"/>
    <mergeCell ref="B220:J220"/>
    <mergeCell ref="B221:J221"/>
    <mergeCell ref="B222:J222"/>
    <mergeCell ref="B223:J223"/>
    <mergeCell ref="B224:J224"/>
    <mergeCell ref="B213:J213"/>
    <mergeCell ref="B214:J214"/>
    <mergeCell ref="B215:J215"/>
    <mergeCell ref="B216:J216"/>
    <mergeCell ref="B217:J217"/>
    <mergeCell ref="B218:J218"/>
    <mergeCell ref="B207:J207"/>
    <mergeCell ref="B208:J208"/>
    <mergeCell ref="B209:J209"/>
    <mergeCell ref="B210:J210"/>
    <mergeCell ref="B211:J211"/>
    <mergeCell ref="B212:J212"/>
    <mergeCell ref="B201:J201"/>
    <mergeCell ref="B202:J202"/>
    <mergeCell ref="B203:J203"/>
    <mergeCell ref="B204:J204"/>
    <mergeCell ref="B205:J205"/>
    <mergeCell ref="B206:J206"/>
    <mergeCell ref="B195:J195"/>
    <mergeCell ref="B196:J196"/>
    <mergeCell ref="B197:J197"/>
    <mergeCell ref="B198:J198"/>
    <mergeCell ref="B199:J199"/>
    <mergeCell ref="B200:J200"/>
    <mergeCell ref="B189:J189"/>
    <mergeCell ref="B190:J190"/>
    <mergeCell ref="B191:J191"/>
    <mergeCell ref="B192:J192"/>
    <mergeCell ref="B193:J193"/>
    <mergeCell ref="B194:J194"/>
    <mergeCell ref="B183:J183"/>
    <mergeCell ref="B184:J184"/>
    <mergeCell ref="B185:J185"/>
    <mergeCell ref="B186:J186"/>
    <mergeCell ref="B187:J187"/>
    <mergeCell ref="B188:J188"/>
    <mergeCell ref="B177:J177"/>
    <mergeCell ref="B178:J178"/>
    <mergeCell ref="B179:J179"/>
    <mergeCell ref="B180:J180"/>
    <mergeCell ref="B181:J181"/>
    <mergeCell ref="B182:J182"/>
    <mergeCell ref="B171:J171"/>
    <mergeCell ref="B172:J172"/>
    <mergeCell ref="B173:J173"/>
    <mergeCell ref="B174:J174"/>
    <mergeCell ref="B175:J175"/>
    <mergeCell ref="B176:J176"/>
    <mergeCell ref="B165:J165"/>
    <mergeCell ref="B166:J166"/>
    <mergeCell ref="B167:J167"/>
    <mergeCell ref="B168:J168"/>
    <mergeCell ref="B169:J169"/>
    <mergeCell ref="B170:J170"/>
    <mergeCell ref="B159:J159"/>
    <mergeCell ref="B160:J160"/>
    <mergeCell ref="B161:J161"/>
    <mergeCell ref="B162:J162"/>
    <mergeCell ref="B163:J163"/>
    <mergeCell ref="B164:J164"/>
    <mergeCell ref="B153:J153"/>
    <mergeCell ref="B154:J154"/>
    <mergeCell ref="B155:J155"/>
    <mergeCell ref="B156:J156"/>
    <mergeCell ref="B157:J157"/>
    <mergeCell ref="B158:J158"/>
    <mergeCell ref="B147:J147"/>
    <mergeCell ref="B148:J148"/>
    <mergeCell ref="B149:J149"/>
    <mergeCell ref="B150:J150"/>
    <mergeCell ref="B151:J151"/>
    <mergeCell ref="B152:J152"/>
    <mergeCell ref="B141:J141"/>
    <mergeCell ref="B142:J142"/>
    <mergeCell ref="B143:J143"/>
    <mergeCell ref="B144:J144"/>
    <mergeCell ref="B145:J145"/>
    <mergeCell ref="B146:J146"/>
    <mergeCell ref="B135:J135"/>
    <mergeCell ref="B136:J136"/>
    <mergeCell ref="B137:J137"/>
    <mergeCell ref="B138:J138"/>
    <mergeCell ref="B139:J139"/>
    <mergeCell ref="B140:J140"/>
    <mergeCell ref="B129:J129"/>
    <mergeCell ref="B130:J130"/>
    <mergeCell ref="B131:J131"/>
    <mergeCell ref="B132:J132"/>
    <mergeCell ref="B133:J133"/>
    <mergeCell ref="B134:J134"/>
    <mergeCell ref="B123:J123"/>
    <mergeCell ref="B124:J124"/>
    <mergeCell ref="B125:J125"/>
    <mergeCell ref="B126:J126"/>
    <mergeCell ref="B127:J127"/>
    <mergeCell ref="B128:J128"/>
    <mergeCell ref="B117:J117"/>
    <mergeCell ref="B118:J118"/>
    <mergeCell ref="B119:J119"/>
    <mergeCell ref="B120:J120"/>
    <mergeCell ref="B121:J121"/>
    <mergeCell ref="B122:J122"/>
    <mergeCell ref="B111:J111"/>
    <mergeCell ref="B112:J112"/>
    <mergeCell ref="B113:J113"/>
    <mergeCell ref="B114:J114"/>
    <mergeCell ref="B115:J115"/>
    <mergeCell ref="B116:J116"/>
    <mergeCell ref="B105:J105"/>
    <mergeCell ref="B106:J106"/>
    <mergeCell ref="B107:J107"/>
    <mergeCell ref="B108:J108"/>
    <mergeCell ref="B109:J109"/>
    <mergeCell ref="B110:J110"/>
    <mergeCell ref="B99:J99"/>
    <mergeCell ref="B100:J100"/>
    <mergeCell ref="B101:J101"/>
    <mergeCell ref="B102:J102"/>
    <mergeCell ref="B103:J103"/>
    <mergeCell ref="B104:J104"/>
    <mergeCell ref="B93:J93"/>
    <mergeCell ref="B94:J94"/>
    <mergeCell ref="B95:J95"/>
    <mergeCell ref="B96:J96"/>
    <mergeCell ref="B97:J97"/>
    <mergeCell ref="B98:J98"/>
    <mergeCell ref="B87:J87"/>
    <mergeCell ref="B88:J88"/>
    <mergeCell ref="B89:J89"/>
    <mergeCell ref="B90:J90"/>
    <mergeCell ref="B91:J91"/>
    <mergeCell ref="B92:J92"/>
    <mergeCell ref="B81:J81"/>
    <mergeCell ref="B82:J82"/>
    <mergeCell ref="B83:J83"/>
    <mergeCell ref="B84:J84"/>
    <mergeCell ref="B85:J85"/>
    <mergeCell ref="B86:J86"/>
    <mergeCell ref="B75:J75"/>
    <mergeCell ref="B76:J76"/>
    <mergeCell ref="B77:J77"/>
    <mergeCell ref="B78:J78"/>
    <mergeCell ref="B79:J79"/>
    <mergeCell ref="B80:J80"/>
    <mergeCell ref="B69:J69"/>
    <mergeCell ref="B70:J70"/>
    <mergeCell ref="B71:J71"/>
    <mergeCell ref="B72:J72"/>
    <mergeCell ref="B73:J73"/>
    <mergeCell ref="B74:J74"/>
    <mergeCell ref="B63:J63"/>
    <mergeCell ref="B64:J64"/>
    <mergeCell ref="B65:J65"/>
    <mergeCell ref="B66:J66"/>
    <mergeCell ref="B67:J67"/>
    <mergeCell ref="B68:J68"/>
    <mergeCell ref="B57:J57"/>
    <mergeCell ref="B58:J58"/>
    <mergeCell ref="B59:J59"/>
    <mergeCell ref="B60:J60"/>
    <mergeCell ref="B61:J61"/>
    <mergeCell ref="B62:J62"/>
    <mergeCell ref="B51:J51"/>
    <mergeCell ref="B52:J52"/>
    <mergeCell ref="B53:J53"/>
    <mergeCell ref="B54:J54"/>
    <mergeCell ref="B55:J55"/>
    <mergeCell ref="B56:J56"/>
    <mergeCell ref="B45:J45"/>
    <mergeCell ref="B46:J46"/>
    <mergeCell ref="B47:J47"/>
    <mergeCell ref="B48:J48"/>
    <mergeCell ref="B49:J49"/>
    <mergeCell ref="B50:J50"/>
    <mergeCell ref="B39:J39"/>
    <mergeCell ref="B40:J40"/>
    <mergeCell ref="B41:J41"/>
    <mergeCell ref="B42:J42"/>
    <mergeCell ref="B43:J43"/>
    <mergeCell ref="B44:J44"/>
    <mergeCell ref="B33:J33"/>
    <mergeCell ref="B34:J34"/>
    <mergeCell ref="B35:J35"/>
    <mergeCell ref="B36:J36"/>
    <mergeCell ref="B37:J37"/>
    <mergeCell ref="B38:J38"/>
    <mergeCell ref="B27:J27"/>
    <mergeCell ref="B28:J28"/>
    <mergeCell ref="B29:J29"/>
    <mergeCell ref="B30:J30"/>
    <mergeCell ref="B31:J31"/>
    <mergeCell ref="B32:J32"/>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3:J3"/>
    <mergeCell ref="B5:J5"/>
    <mergeCell ref="B6:J6"/>
    <mergeCell ref="B7:J7"/>
    <mergeCell ref="B4:J4"/>
    <mergeCell ref="B8:J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3937007874015748" right="0.3937007874015748" top="0.3937007874015748" bottom="0.5905511811023623" header="0.3937007874015748" footer="0.3937007874015748"/>
  <pageSetup fitToHeight="0" fitToWidth="1" horizontalDpi="1200" verticalDpi="1200" orientation="portrait" paperSize="9" scale="90" r:id="rId1"/>
</worksheet>
</file>

<file path=xl/worksheets/sheet14.xml><?xml version="1.0" encoding="utf-8"?>
<worksheet xmlns="http://schemas.openxmlformats.org/spreadsheetml/2006/main" xmlns:r="http://schemas.openxmlformats.org/officeDocument/2006/relationships">
  <sheetPr>
    <pageSetUpPr fitToPage="1"/>
  </sheetPr>
  <dimension ref="A1:J190"/>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 width="8.7109375" style="15" customWidth="1"/>
    <col min="2" max="3" width="10.7109375" style="15" customWidth="1"/>
    <col min="4" max="5" width="8.7109375" style="15" customWidth="1"/>
    <col min="6" max="7" width="10.7109375" style="15" customWidth="1"/>
    <col min="8" max="9" width="8.7109375" style="15" customWidth="1"/>
    <col min="10" max="10" width="20.7109375" style="15" customWidth="1"/>
    <col min="11" max="11" width="0.85546875" style="15" customWidth="1"/>
    <col min="12" max="16384" width="0" style="15" hidden="1" customWidth="1"/>
  </cols>
  <sheetData>
    <row r="1" spans="1:10" ht="19.5" customHeight="1">
      <c r="A1" s="320" t="s">
        <v>1801</v>
      </c>
      <c r="B1" s="321"/>
      <c r="C1" s="88" t="s">
        <v>396</v>
      </c>
      <c r="D1" s="85" t="s">
        <v>1802</v>
      </c>
      <c r="E1" s="85" t="s">
        <v>305</v>
      </c>
      <c r="F1" s="106" t="s">
        <v>1792</v>
      </c>
      <c r="G1" s="85" t="s">
        <v>397</v>
      </c>
      <c r="H1" s="106" t="s">
        <v>398</v>
      </c>
      <c r="I1" s="85" t="s">
        <v>306</v>
      </c>
      <c r="J1" s="86" t="s">
        <v>399</v>
      </c>
    </row>
    <row r="2" spans="1:10" s="3" customFormat="1" ht="19.5" customHeight="1">
      <c r="A2" s="322"/>
      <c r="B2" s="323"/>
      <c r="C2" s="89" t="s">
        <v>1803</v>
      </c>
      <c r="D2" s="90" t="s">
        <v>308</v>
      </c>
      <c r="E2" s="90" t="s">
        <v>1804</v>
      </c>
      <c r="F2" s="90" t="s">
        <v>307</v>
      </c>
      <c r="G2" s="90" t="s">
        <v>401</v>
      </c>
      <c r="H2" s="91" t="s">
        <v>402</v>
      </c>
      <c r="I2" s="87"/>
      <c r="J2" s="87"/>
    </row>
    <row r="3" spans="1:10" s="3" customFormat="1" ht="38.25" customHeight="1">
      <c r="A3" s="723" t="s">
        <v>2191</v>
      </c>
      <c r="B3" s="724"/>
      <c r="C3" s="724"/>
      <c r="D3" s="724"/>
      <c r="E3" s="724"/>
      <c r="F3" s="724"/>
      <c r="G3" s="724"/>
      <c r="H3" s="724"/>
      <c r="I3" s="724"/>
      <c r="J3" s="724"/>
    </row>
    <row r="4" spans="1:10" ht="25.5" customHeight="1">
      <c r="A4" s="67" t="s">
        <v>989</v>
      </c>
      <c r="B4" s="725" t="s">
        <v>991</v>
      </c>
      <c r="C4" s="726"/>
      <c r="E4" s="67" t="s">
        <v>989</v>
      </c>
      <c r="F4" s="725" t="s">
        <v>991</v>
      </c>
      <c r="G4" s="726"/>
      <c r="I4" s="67" t="s">
        <v>989</v>
      </c>
      <c r="J4" s="68" t="s">
        <v>991</v>
      </c>
    </row>
    <row r="5" spans="1:10" ht="13.5" customHeight="1">
      <c r="A5" s="69">
        <v>1</v>
      </c>
      <c r="B5" s="727" t="s">
        <v>992</v>
      </c>
      <c r="C5" s="728"/>
      <c r="E5" s="69">
        <v>185</v>
      </c>
      <c r="F5" s="727" t="s">
        <v>993</v>
      </c>
      <c r="G5" s="728"/>
      <c r="I5" s="69">
        <v>88</v>
      </c>
      <c r="J5" s="74" t="s">
        <v>994</v>
      </c>
    </row>
    <row r="6" spans="1:10" ht="13.5" customHeight="1">
      <c r="A6" s="70">
        <v>2</v>
      </c>
      <c r="B6" s="721" t="s">
        <v>995</v>
      </c>
      <c r="C6" s="722"/>
      <c r="E6" s="70">
        <v>186</v>
      </c>
      <c r="F6" s="721" t="s">
        <v>996</v>
      </c>
      <c r="G6" s="722"/>
      <c r="I6" s="70">
        <v>298</v>
      </c>
      <c r="J6" s="75" t="s">
        <v>997</v>
      </c>
    </row>
    <row r="7" spans="1:10" ht="13.5" customHeight="1">
      <c r="A7" s="70">
        <v>3</v>
      </c>
      <c r="B7" s="721" t="s">
        <v>998</v>
      </c>
      <c r="C7" s="722"/>
      <c r="E7" s="70">
        <v>187</v>
      </c>
      <c r="F7" s="721" t="s">
        <v>999</v>
      </c>
      <c r="G7" s="722"/>
      <c r="I7" s="70">
        <v>358</v>
      </c>
      <c r="J7" s="75" t="s">
        <v>48</v>
      </c>
    </row>
    <row r="8" spans="1:10" ht="13.5" customHeight="1">
      <c r="A8" s="70">
        <v>4</v>
      </c>
      <c r="B8" s="721" t="s">
        <v>49</v>
      </c>
      <c r="C8" s="722"/>
      <c r="E8" s="70">
        <v>189</v>
      </c>
      <c r="F8" s="721" t="s">
        <v>50</v>
      </c>
      <c r="G8" s="722"/>
      <c r="I8" s="70">
        <v>359</v>
      </c>
      <c r="J8" s="75" t="s">
        <v>51</v>
      </c>
    </row>
    <row r="9" spans="1:10" ht="13.5" customHeight="1">
      <c r="A9" s="70">
        <v>5</v>
      </c>
      <c r="B9" s="721" t="s">
        <v>52</v>
      </c>
      <c r="C9" s="722"/>
      <c r="E9" s="70">
        <v>190</v>
      </c>
      <c r="F9" s="721" t="s">
        <v>53</v>
      </c>
      <c r="G9" s="722"/>
      <c r="I9" s="70">
        <v>360</v>
      </c>
      <c r="J9" s="75" t="s">
        <v>54</v>
      </c>
    </row>
    <row r="10" spans="1:10" ht="13.5" customHeight="1">
      <c r="A10" s="70">
        <v>6</v>
      </c>
      <c r="B10" s="721" t="s">
        <v>55</v>
      </c>
      <c r="C10" s="722"/>
      <c r="E10" s="70">
        <v>192</v>
      </c>
      <c r="F10" s="721" t="s">
        <v>56</v>
      </c>
      <c r="G10" s="722"/>
      <c r="I10" s="70">
        <v>361</v>
      </c>
      <c r="J10" s="75" t="s">
        <v>57</v>
      </c>
    </row>
    <row r="11" spans="1:10" ht="13.5" customHeight="1">
      <c r="A11" s="70">
        <v>7</v>
      </c>
      <c r="B11" s="721" t="s">
        <v>58</v>
      </c>
      <c r="C11" s="722"/>
      <c r="E11" s="70">
        <v>193</v>
      </c>
      <c r="F11" s="721" t="s">
        <v>59</v>
      </c>
      <c r="G11" s="722"/>
      <c r="I11" s="70">
        <v>362</v>
      </c>
      <c r="J11" s="75" t="s">
        <v>60</v>
      </c>
    </row>
    <row r="12" spans="1:10" ht="13.5" customHeight="1">
      <c r="A12" s="70">
        <v>8</v>
      </c>
      <c r="B12" s="721" t="s">
        <v>61</v>
      </c>
      <c r="C12" s="722"/>
      <c r="E12" s="70">
        <v>194</v>
      </c>
      <c r="F12" s="721" t="s">
        <v>62</v>
      </c>
      <c r="G12" s="722"/>
      <c r="I12" s="70">
        <v>363</v>
      </c>
      <c r="J12" s="75" t="s">
        <v>63</v>
      </c>
    </row>
    <row r="13" spans="1:10" ht="13.5" customHeight="1">
      <c r="A13" s="70">
        <v>9</v>
      </c>
      <c r="B13" s="721" t="s">
        <v>64</v>
      </c>
      <c r="C13" s="722"/>
      <c r="E13" s="70">
        <v>195</v>
      </c>
      <c r="F13" s="721" t="s">
        <v>65</v>
      </c>
      <c r="G13" s="722"/>
      <c r="I13" s="70">
        <v>364</v>
      </c>
      <c r="J13" s="75" t="s">
        <v>66</v>
      </c>
    </row>
    <row r="14" spans="1:10" ht="13.5" customHeight="1">
      <c r="A14" s="70">
        <v>10</v>
      </c>
      <c r="B14" s="721" t="s">
        <v>67</v>
      </c>
      <c r="C14" s="722"/>
      <c r="E14" s="70">
        <v>196</v>
      </c>
      <c r="F14" s="721" t="s">
        <v>68</v>
      </c>
      <c r="G14" s="722"/>
      <c r="I14" s="70">
        <v>536</v>
      </c>
      <c r="J14" s="75" t="s">
        <v>69</v>
      </c>
    </row>
    <row r="15" spans="1:10" ht="13.5" customHeight="1">
      <c r="A15" s="70">
        <v>11</v>
      </c>
      <c r="B15" s="721" t="s">
        <v>70</v>
      </c>
      <c r="C15" s="722"/>
      <c r="E15" s="70">
        <v>622</v>
      </c>
      <c r="F15" s="721" t="s">
        <v>71</v>
      </c>
      <c r="G15" s="722"/>
      <c r="I15" s="70">
        <v>365</v>
      </c>
      <c r="J15" s="75" t="s">
        <v>72</v>
      </c>
    </row>
    <row r="16" spans="1:10" ht="13.5" customHeight="1">
      <c r="A16" s="70">
        <v>550</v>
      </c>
      <c r="B16" s="721" t="s">
        <v>73</v>
      </c>
      <c r="C16" s="722"/>
      <c r="E16" s="70">
        <v>197</v>
      </c>
      <c r="F16" s="721" t="s">
        <v>74</v>
      </c>
      <c r="G16" s="722"/>
      <c r="I16" s="70">
        <v>366</v>
      </c>
      <c r="J16" s="75" t="s">
        <v>75</v>
      </c>
    </row>
    <row r="17" spans="1:10" ht="13.5" customHeight="1">
      <c r="A17" s="70">
        <v>12</v>
      </c>
      <c r="B17" s="721" t="s">
        <v>76</v>
      </c>
      <c r="C17" s="722"/>
      <c r="E17" s="70">
        <v>198</v>
      </c>
      <c r="F17" s="721" t="s">
        <v>77</v>
      </c>
      <c r="G17" s="722"/>
      <c r="I17" s="70">
        <v>368</v>
      </c>
      <c r="J17" s="75" t="s">
        <v>78</v>
      </c>
    </row>
    <row r="18" spans="1:10" ht="13.5" customHeight="1">
      <c r="A18" s="70">
        <v>13</v>
      </c>
      <c r="B18" s="721" t="s">
        <v>1716</v>
      </c>
      <c r="C18" s="722"/>
      <c r="E18" s="70">
        <v>199</v>
      </c>
      <c r="F18" s="721" t="s">
        <v>349</v>
      </c>
      <c r="G18" s="722"/>
      <c r="I18" s="70">
        <v>369</v>
      </c>
      <c r="J18" s="75" t="s">
        <v>350</v>
      </c>
    </row>
    <row r="19" spans="1:10" ht="13.5" customHeight="1">
      <c r="A19" s="70">
        <v>15</v>
      </c>
      <c r="B19" s="721" t="s">
        <v>351</v>
      </c>
      <c r="C19" s="722"/>
      <c r="E19" s="70">
        <v>200</v>
      </c>
      <c r="F19" s="721" t="s">
        <v>2449</v>
      </c>
      <c r="G19" s="722"/>
      <c r="I19" s="70">
        <v>371</v>
      </c>
      <c r="J19" s="75" t="s">
        <v>2450</v>
      </c>
    </row>
    <row r="20" spans="1:10" ht="13.5" customHeight="1">
      <c r="A20" s="70">
        <v>16</v>
      </c>
      <c r="B20" s="721" t="s">
        <v>2451</v>
      </c>
      <c r="C20" s="722"/>
      <c r="E20" s="70">
        <v>201</v>
      </c>
      <c r="F20" s="721" t="s">
        <v>2452</v>
      </c>
      <c r="G20" s="722"/>
      <c r="I20" s="70">
        <v>372</v>
      </c>
      <c r="J20" s="75" t="s">
        <v>2453</v>
      </c>
    </row>
    <row r="21" spans="1:10" ht="13.5" customHeight="1">
      <c r="A21" s="70">
        <v>17</v>
      </c>
      <c r="B21" s="721" t="s">
        <v>2454</v>
      </c>
      <c r="C21" s="722"/>
      <c r="E21" s="70">
        <v>202</v>
      </c>
      <c r="F21" s="721" t="s">
        <v>2455</v>
      </c>
      <c r="G21" s="722"/>
      <c r="I21" s="70">
        <v>556</v>
      </c>
      <c r="J21" s="75" t="s">
        <v>2456</v>
      </c>
    </row>
    <row r="22" spans="1:10" ht="13.5" customHeight="1">
      <c r="A22" s="70">
        <v>18</v>
      </c>
      <c r="B22" s="721" t="s">
        <v>2457</v>
      </c>
      <c r="C22" s="722"/>
      <c r="E22" s="70">
        <v>203</v>
      </c>
      <c r="F22" s="721" t="s">
        <v>2458</v>
      </c>
      <c r="G22" s="722"/>
      <c r="I22" s="70">
        <v>373</v>
      </c>
      <c r="J22" s="75" t="s">
        <v>2459</v>
      </c>
    </row>
    <row r="23" spans="1:10" ht="13.5" customHeight="1">
      <c r="A23" s="70">
        <v>19</v>
      </c>
      <c r="B23" s="721" t="s">
        <v>2460</v>
      </c>
      <c r="C23" s="722"/>
      <c r="E23" s="70">
        <v>204</v>
      </c>
      <c r="F23" s="721" t="s">
        <v>2461</v>
      </c>
      <c r="G23" s="722"/>
      <c r="I23" s="70">
        <v>582</v>
      </c>
      <c r="J23" s="75" t="s">
        <v>2462</v>
      </c>
    </row>
    <row r="24" spans="1:10" ht="13.5" customHeight="1">
      <c r="A24" s="70">
        <v>20</v>
      </c>
      <c r="B24" s="721" t="s">
        <v>2463</v>
      </c>
      <c r="C24" s="722"/>
      <c r="E24" s="70">
        <v>538</v>
      </c>
      <c r="F24" s="721" t="s">
        <v>2464</v>
      </c>
      <c r="G24" s="722"/>
      <c r="I24" s="70">
        <v>374</v>
      </c>
      <c r="J24" s="75" t="s">
        <v>2465</v>
      </c>
    </row>
    <row r="25" spans="1:10" ht="13.5" customHeight="1">
      <c r="A25" s="70">
        <v>621</v>
      </c>
      <c r="B25" s="721" t="s">
        <v>2466</v>
      </c>
      <c r="C25" s="722"/>
      <c r="E25" s="70">
        <v>205</v>
      </c>
      <c r="F25" s="721" t="s">
        <v>2467</v>
      </c>
      <c r="G25" s="722"/>
      <c r="I25" s="70">
        <v>375</v>
      </c>
      <c r="J25" s="75" t="s">
        <v>2468</v>
      </c>
    </row>
    <row r="26" spans="1:10" ht="13.5" customHeight="1">
      <c r="A26" s="70">
        <v>21</v>
      </c>
      <c r="B26" s="721" t="s">
        <v>2469</v>
      </c>
      <c r="C26" s="722"/>
      <c r="E26" s="70">
        <v>206</v>
      </c>
      <c r="F26" s="721" t="s">
        <v>2470</v>
      </c>
      <c r="G26" s="722"/>
      <c r="I26" s="70">
        <v>376</v>
      </c>
      <c r="J26" s="75" t="s">
        <v>2471</v>
      </c>
    </row>
    <row r="27" spans="1:10" ht="13.5" customHeight="1">
      <c r="A27" s="70">
        <v>22</v>
      </c>
      <c r="B27" s="721" t="s">
        <v>2472</v>
      </c>
      <c r="C27" s="722"/>
      <c r="E27" s="70">
        <v>208</v>
      </c>
      <c r="F27" s="721" t="s">
        <v>2473</v>
      </c>
      <c r="G27" s="722"/>
      <c r="I27" s="70">
        <v>591</v>
      </c>
      <c r="J27" s="75" t="s">
        <v>2474</v>
      </c>
    </row>
    <row r="28" spans="1:10" ht="13.5" customHeight="1">
      <c r="A28" s="70">
        <v>310</v>
      </c>
      <c r="B28" s="721" t="s">
        <v>2475</v>
      </c>
      <c r="C28" s="722"/>
      <c r="E28" s="70">
        <v>209</v>
      </c>
      <c r="F28" s="721" t="s">
        <v>2476</v>
      </c>
      <c r="G28" s="722"/>
      <c r="I28" s="70">
        <v>377</v>
      </c>
      <c r="J28" s="75" t="s">
        <v>2477</v>
      </c>
    </row>
    <row r="29" spans="1:10" ht="13.5" customHeight="1">
      <c r="A29" s="70">
        <v>547</v>
      </c>
      <c r="B29" s="721" t="s">
        <v>2478</v>
      </c>
      <c r="C29" s="722"/>
      <c r="E29" s="70">
        <v>211</v>
      </c>
      <c r="F29" s="721" t="s">
        <v>2479</v>
      </c>
      <c r="G29" s="722"/>
      <c r="I29" s="70">
        <v>378</v>
      </c>
      <c r="J29" s="75" t="s">
        <v>2480</v>
      </c>
    </row>
    <row r="30" spans="1:10" ht="13.5" customHeight="1">
      <c r="A30" s="70">
        <v>23</v>
      </c>
      <c r="B30" s="721" t="s">
        <v>2481</v>
      </c>
      <c r="C30" s="722"/>
      <c r="E30" s="70">
        <v>212</v>
      </c>
      <c r="F30" s="721" t="s">
        <v>2482</v>
      </c>
      <c r="G30" s="722"/>
      <c r="I30" s="70">
        <v>379</v>
      </c>
      <c r="J30" s="75" t="s">
        <v>2483</v>
      </c>
    </row>
    <row r="31" spans="1:10" ht="13.5" customHeight="1">
      <c r="A31" s="70">
        <v>24</v>
      </c>
      <c r="B31" s="721" t="s">
        <v>2484</v>
      </c>
      <c r="C31" s="722"/>
      <c r="E31" s="70">
        <v>533</v>
      </c>
      <c r="F31" s="721" t="s">
        <v>2485</v>
      </c>
      <c r="G31" s="722"/>
      <c r="I31" s="70">
        <v>380</v>
      </c>
      <c r="J31" s="75" t="s">
        <v>2486</v>
      </c>
    </row>
    <row r="32" spans="1:10" ht="13.5" customHeight="1">
      <c r="A32" s="70">
        <v>25</v>
      </c>
      <c r="B32" s="721" t="s">
        <v>2487</v>
      </c>
      <c r="C32" s="722"/>
      <c r="E32" s="70">
        <v>545</v>
      </c>
      <c r="F32" s="721" t="s">
        <v>2488</v>
      </c>
      <c r="G32" s="722"/>
      <c r="I32" s="70">
        <v>381</v>
      </c>
      <c r="J32" s="75" t="s">
        <v>2489</v>
      </c>
    </row>
    <row r="33" spans="1:10" ht="13.5" customHeight="1">
      <c r="A33" s="70">
        <v>26</v>
      </c>
      <c r="B33" s="721" t="s">
        <v>2490</v>
      </c>
      <c r="C33" s="722"/>
      <c r="E33" s="70">
        <v>213</v>
      </c>
      <c r="F33" s="721" t="s">
        <v>1522</v>
      </c>
      <c r="G33" s="722"/>
      <c r="I33" s="70">
        <v>382</v>
      </c>
      <c r="J33" s="75" t="s">
        <v>1523</v>
      </c>
    </row>
    <row r="34" spans="1:10" ht="13.5" customHeight="1">
      <c r="A34" s="70">
        <v>27</v>
      </c>
      <c r="B34" s="721" t="s">
        <v>1524</v>
      </c>
      <c r="C34" s="722"/>
      <c r="E34" s="70">
        <v>214</v>
      </c>
      <c r="F34" s="721" t="s">
        <v>1525</v>
      </c>
      <c r="G34" s="722"/>
      <c r="I34" s="70">
        <v>383</v>
      </c>
      <c r="J34" s="75" t="s">
        <v>1526</v>
      </c>
    </row>
    <row r="35" spans="1:10" ht="13.5" customHeight="1">
      <c r="A35" s="70">
        <v>29</v>
      </c>
      <c r="B35" s="721" t="s">
        <v>1527</v>
      </c>
      <c r="C35" s="722"/>
      <c r="E35" s="70">
        <v>215</v>
      </c>
      <c r="F35" s="721" t="s">
        <v>1528</v>
      </c>
      <c r="G35" s="722"/>
      <c r="I35" s="70">
        <v>385</v>
      </c>
      <c r="J35" s="75" t="s">
        <v>1529</v>
      </c>
    </row>
    <row r="36" spans="1:10" ht="13.5" customHeight="1">
      <c r="A36" s="70">
        <v>30</v>
      </c>
      <c r="B36" s="721" t="s">
        <v>1530</v>
      </c>
      <c r="C36" s="722"/>
      <c r="E36" s="70">
        <v>216</v>
      </c>
      <c r="F36" s="721" t="s">
        <v>1531</v>
      </c>
      <c r="G36" s="722"/>
      <c r="I36" s="70">
        <v>386</v>
      </c>
      <c r="J36" s="75" t="s">
        <v>1532</v>
      </c>
    </row>
    <row r="37" spans="1:10" ht="13.5" customHeight="1">
      <c r="A37" s="70">
        <v>32</v>
      </c>
      <c r="B37" s="721" t="s">
        <v>1533</v>
      </c>
      <c r="C37" s="722"/>
      <c r="E37" s="70">
        <v>217</v>
      </c>
      <c r="F37" s="721" t="s">
        <v>1534</v>
      </c>
      <c r="G37" s="722"/>
      <c r="I37" s="70">
        <v>387</v>
      </c>
      <c r="J37" s="75" t="s">
        <v>1535</v>
      </c>
    </row>
    <row r="38" spans="1:10" ht="13.5" customHeight="1">
      <c r="A38" s="70">
        <v>33</v>
      </c>
      <c r="B38" s="721" t="s">
        <v>1536</v>
      </c>
      <c r="C38" s="722"/>
      <c r="E38" s="70">
        <v>572</v>
      </c>
      <c r="F38" s="721" t="s">
        <v>1537</v>
      </c>
      <c r="G38" s="722"/>
      <c r="I38" s="70">
        <v>562</v>
      </c>
      <c r="J38" s="75" t="s">
        <v>1538</v>
      </c>
    </row>
    <row r="39" spans="1:10" ht="13.5" customHeight="1">
      <c r="A39" s="70">
        <v>34</v>
      </c>
      <c r="B39" s="721" t="s">
        <v>1539</v>
      </c>
      <c r="C39" s="722"/>
      <c r="E39" s="70">
        <v>219</v>
      </c>
      <c r="F39" s="721" t="s">
        <v>1540</v>
      </c>
      <c r="G39" s="722"/>
      <c r="I39" s="70">
        <v>388</v>
      </c>
      <c r="J39" s="75" t="s">
        <v>1541</v>
      </c>
    </row>
    <row r="40" spans="1:10" ht="13.5" customHeight="1">
      <c r="A40" s="70">
        <v>77</v>
      </c>
      <c r="B40" s="721" t="s">
        <v>1542</v>
      </c>
      <c r="C40" s="722"/>
      <c r="E40" s="70">
        <v>553</v>
      </c>
      <c r="F40" s="721" t="s">
        <v>1543</v>
      </c>
      <c r="G40" s="722"/>
      <c r="I40" s="70">
        <v>570</v>
      </c>
      <c r="J40" s="75" t="s">
        <v>1544</v>
      </c>
    </row>
    <row r="41" spans="1:10" ht="13.5" customHeight="1">
      <c r="A41" s="70">
        <v>35</v>
      </c>
      <c r="B41" s="721" t="s">
        <v>1545</v>
      </c>
      <c r="C41" s="722"/>
      <c r="E41" s="70">
        <v>220</v>
      </c>
      <c r="F41" s="721" t="s">
        <v>1546</v>
      </c>
      <c r="G41" s="722"/>
      <c r="I41" s="70">
        <v>389</v>
      </c>
      <c r="J41" s="75" t="s">
        <v>1547</v>
      </c>
    </row>
    <row r="42" spans="1:10" ht="13.5" customHeight="1">
      <c r="A42" s="70">
        <v>36</v>
      </c>
      <c r="B42" s="721" t="s">
        <v>1548</v>
      </c>
      <c r="C42" s="722"/>
      <c r="E42" s="70">
        <v>221</v>
      </c>
      <c r="F42" s="721" t="s">
        <v>1549</v>
      </c>
      <c r="G42" s="722"/>
      <c r="I42" s="70">
        <v>390</v>
      </c>
      <c r="J42" s="75" t="s">
        <v>1550</v>
      </c>
    </row>
    <row r="43" spans="1:10" ht="13.5" customHeight="1">
      <c r="A43" s="70">
        <v>151</v>
      </c>
      <c r="B43" s="721" t="s">
        <v>1551</v>
      </c>
      <c r="C43" s="722"/>
      <c r="E43" s="70">
        <v>222</v>
      </c>
      <c r="F43" s="721" t="s">
        <v>1323</v>
      </c>
      <c r="G43" s="722"/>
      <c r="I43" s="70">
        <v>391</v>
      </c>
      <c r="J43" s="75" t="s">
        <v>1324</v>
      </c>
    </row>
    <row r="44" spans="1:10" ht="13.5" customHeight="1">
      <c r="A44" s="70">
        <v>37</v>
      </c>
      <c r="B44" s="721" t="s">
        <v>1325</v>
      </c>
      <c r="C44" s="722"/>
      <c r="E44" s="70">
        <v>223</v>
      </c>
      <c r="F44" s="721" t="s">
        <v>1326</v>
      </c>
      <c r="G44" s="722"/>
      <c r="I44" s="70">
        <v>393</v>
      </c>
      <c r="J44" s="75" t="s">
        <v>1327</v>
      </c>
    </row>
    <row r="45" spans="1:10" ht="13.5" customHeight="1">
      <c r="A45" s="70">
        <v>38</v>
      </c>
      <c r="B45" s="721" t="s">
        <v>1328</v>
      </c>
      <c r="C45" s="722"/>
      <c r="E45" s="70">
        <v>225</v>
      </c>
      <c r="F45" s="721" t="s">
        <v>1329</v>
      </c>
      <c r="G45" s="722"/>
      <c r="I45" s="70">
        <v>394</v>
      </c>
      <c r="J45" s="75" t="s">
        <v>1330</v>
      </c>
    </row>
    <row r="46" spans="1:10" ht="13.5" customHeight="1">
      <c r="A46" s="70">
        <v>39</v>
      </c>
      <c r="B46" s="721" t="s">
        <v>1331</v>
      </c>
      <c r="C46" s="722"/>
      <c r="E46" s="70">
        <v>226</v>
      </c>
      <c r="F46" s="721" t="s">
        <v>1332</v>
      </c>
      <c r="G46" s="722"/>
      <c r="I46" s="70">
        <v>395</v>
      </c>
      <c r="J46" s="75" t="s">
        <v>1333</v>
      </c>
    </row>
    <row r="47" spans="1:10" ht="13.5" customHeight="1">
      <c r="A47" s="70">
        <v>40</v>
      </c>
      <c r="B47" s="721" t="s">
        <v>1334</v>
      </c>
      <c r="C47" s="722"/>
      <c r="E47" s="70">
        <v>586</v>
      </c>
      <c r="F47" s="721" t="s">
        <v>1646</v>
      </c>
      <c r="G47" s="722"/>
      <c r="I47" s="70">
        <v>396</v>
      </c>
      <c r="J47" s="75" t="s">
        <v>1647</v>
      </c>
    </row>
    <row r="48" spans="1:10" ht="13.5" customHeight="1">
      <c r="A48" s="70">
        <v>41</v>
      </c>
      <c r="B48" s="721" t="s">
        <v>1648</v>
      </c>
      <c r="C48" s="722"/>
      <c r="E48" s="70">
        <v>227</v>
      </c>
      <c r="F48" s="721" t="s">
        <v>1649</v>
      </c>
      <c r="G48" s="722"/>
      <c r="I48" s="70">
        <v>397</v>
      </c>
      <c r="J48" s="75" t="s">
        <v>1650</v>
      </c>
    </row>
    <row r="49" spans="1:10" ht="13.5" customHeight="1">
      <c r="A49" s="70">
        <v>42</v>
      </c>
      <c r="B49" s="721" t="s">
        <v>1651</v>
      </c>
      <c r="C49" s="722"/>
      <c r="E49" s="70">
        <v>228</v>
      </c>
      <c r="F49" s="721" t="s">
        <v>1652</v>
      </c>
      <c r="G49" s="722"/>
      <c r="I49" s="70">
        <v>399</v>
      </c>
      <c r="J49" s="75" t="s">
        <v>1653</v>
      </c>
    </row>
    <row r="50" spans="1:10" ht="13.5" customHeight="1">
      <c r="A50" s="70">
        <v>567</v>
      </c>
      <c r="B50" s="721" t="s">
        <v>1654</v>
      </c>
      <c r="C50" s="722"/>
      <c r="E50" s="70">
        <v>229</v>
      </c>
      <c r="F50" s="721" t="s">
        <v>1655</v>
      </c>
      <c r="G50" s="722"/>
      <c r="I50" s="70">
        <v>400</v>
      </c>
      <c r="J50" s="75" t="s">
        <v>1656</v>
      </c>
    </row>
    <row r="51" spans="1:10" ht="13.5" customHeight="1">
      <c r="A51" s="70">
        <v>43</v>
      </c>
      <c r="B51" s="721" t="s">
        <v>1657</v>
      </c>
      <c r="C51" s="722"/>
      <c r="E51" s="70">
        <v>230</v>
      </c>
      <c r="F51" s="721" t="s">
        <v>1658</v>
      </c>
      <c r="G51" s="722"/>
      <c r="I51" s="70">
        <v>402</v>
      </c>
      <c r="J51" s="75" t="s">
        <v>1659</v>
      </c>
    </row>
    <row r="52" spans="1:10" ht="13.5" customHeight="1">
      <c r="A52" s="70">
        <v>44</v>
      </c>
      <c r="B52" s="721" t="s">
        <v>1660</v>
      </c>
      <c r="C52" s="722"/>
      <c r="E52" s="70">
        <v>231</v>
      </c>
      <c r="F52" s="721" t="s">
        <v>1661</v>
      </c>
      <c r="G52" s="722"/>
      <c r="I52" s="70">
        <v>405</v>
      </c>
      <c r="J52" s="75" t="s">
        <v>1197</v>
      </c>
    </row>
    <row r="53" spans="1:10" ht="13.5" customHeight="1">
      <c r="A53" s="70">
        <v>46</v>
      </c>
      <c r="B53" s="721" t="s">
        <v>1198</v>
      </c>
      <c r="C53" s="722"/>
      <c r="E53" s="70">
        <v>232</v>
      </c>
      <c r="F53" s="721" t="s">
        <v>2530</v>
      </c>
      <c r="G53" s="722"/>
      <c r="I53" s="70">
        <v>406</v>
      </c>
      <c r="J53" s="75" t="s">
        <v>2531</v>
      </c>
    </row>
    <row r="54" spans="1:10" ht="13.5" customHeight="1">
      <c r="A54" s="70">
        <v>47</v>
      </c>
      <c r="B54" s="721" t="s">
        <v>2532</v>
      </c>
      <c r="C54" s="722"/>
      <c r="E54" s="70">
        <v>234</v>
      </c>
      <c r="F54" s="721" t="s">
        <v>2533</v>
      </c>
      <c r="G54" s="722"/>
      <c r="I54" s="70">
        <v>407</v>
      </c>
      <c r="J54" s="75" t="s">
        <v>2534</v>
      </c>
    </row>
    <row r="55" spans="1:10" ht="13.5" customHeight="1">
      <c r="A55" s="70">
        <v>48</v>
      </c>
      <c r="B55" s="721" t="s">
        <v>2535</v>
      </c>
      <c r="C55" s="722"/>
      <c r="E55" s="70">
        <v>235</v>
      </c>
      <c r="F55" s="721" t="s">
        <v>2536</v>
      </c>
      <c r="G55" s="722"/>
      <c r="I55" s="70">
        <v>409</v>
      </c>
      <c r="J55" s="75" t="s">
        <v>2537</v>
      </c>
    </row>
    <row r="56" spans="1:10" ht="13.5" customHeight="1">
      <c r="A56" s="70">
        <v>49</v>
      </c>
      <c r="B56" s="721" t="s">
        <v>2538</v>
      </c>
      <c r="C56" s="722"/>
      <c r="E56" s="70">
        <v>236</v>
      </c>
      <c r="F56" s="721" t="s">
        <v>2539</v>
      </c>
      <c r="G56" s="722"/>
      <c r="I56" s="70">
        <v>410</v>
      </c>
      <c r="J56" s="75" t="s">
        <v>2540</v>
      </c>
    </row>
    <row r="57" spans="1:10" ht="13.5" customHeight="1">
      <c r="A57" s="70">
        <v>50</v>
      </c>
      <c r="B57" s="721" t="s">
        <v>2541</v>
      </c>
      <c r="C57" s="722"/>
      <c r="E57" s="70">
        <v>237</v>
      </c>
      <c r="F57" s="721" t="s">
        <v>2542</v>
      </c>
      <c r="G57" s="722"/>
      <c r="I57" s="70">
        <v>411</v>
      </c>
      <c r="J57" s="75" t="s">
        <v>2543</v>
      </c>
    </row>
    <row r="58" spans="1:10" ht="13.5" customHeight="1">
      <c r="A58" s="70">
        <v>51</v>
      </c>
      <c r="B58" s="721" t="s">
        <v>2544</v>
      </c>
      <c r="C58" s="722"/>
      <c r="E58" s="70">
        <v>587</v>
      </c>
      <c r="F58" s="721" t="s">
        <v>2545</v>
      </c>
      <c r="G58" s="722"/>
      <c r="I58" s="70">
        <v>412</v>
      </c>
      <c r="J58" s="75" t="s">
        <v>2546</v>
      </c>
    </row>
    <row r="59" spans="1:10" ht="13.5" customHeight="1">
      <c r="A59" s="70">
        <v>52</v>
      </c>
      <c r="B59" s="721" t="s">
        <v>2547</v>
      </c>
      <c r="C59" s="722"/>
      <c r="E59" s="70">
        <v>624</v>
      </c>
      <c r="F59" s="721" t="s">
        <v>2548</v>
      </c>
      <c r="G59" s="722"/>
      <c r="I59" s="70">
        <v>413</v>
      </c>
      <c r="J59" s="75" t="s">
        <v>2549</v>
      </c>
    </row>
    <row r="60" spans="1:10" ht="13.5" customHeight="1">
      <c r="A60" s="70">
        <v>53</v>
      </c>
      <c r="B60" s="721" t="s">
        <v>2550</v>
      </c>
      <c r="C60" s="722"/>
      <c r="E60" s="70">
        <v>239</v>
      </c>
      <c r="F60" s="721" t="s">
        <v>2551</v>
      </c>
      <c r="G60" s="722"/>
      <c r="I60" s="70">
        <v>414</v>
      </c>
      <c r="J60" s="75" t="s">
        <v>2552</v>
      </c>
    </row>
    <row r="61" spans="1:10" ht="13.5" customHeight="1">
      <c r="A61" s="70">
        <v>54</v>
      </c>
      <c r="B61" s="721" t="s">
        <v>2553</v>
      </c>
      <c r="C61" s="722"/>
      <c r="E61" s="70">
        <v>240</v>
      </c>
      <c r="F61" s="721" t="s">
        <v>2554</v>
      </c>
      <c r="G61" s="722"/>
      <c r="I61" s="70">
        <v>415</v>
      </c>
      <c r="J61" s="75" t="s">
        <v>2555</v>
      </c>
    </row>
    <row r="62" spans="1:10" ht="13.5" customHeight="1">
      <c r="A62" s="70">
        <v>55</v>
      </c>
      <c r="B62" s="721" t="s">
        <v>2556</v>
      </c>
      <c r="C62" s="722"/>
      <c r="E62" s="70">
        <v>242</v>
      </c>
      <c r="F62" s="721" t="s">
        <v>2557</v>
      </c>
      <c r="G62" s="722"/>
      <c r="I62" s="70">
        <v>416</v>
      </c>
      <c r="J62" s="75" t="s">
        <v>2558</v>
      </c>
    </row>
    <row r="63" spans="1:10" ht="13.5" customHeight="1">
      <c r="A63" s="70">
        <v>56</v>
      </c>
      <c r="B63" s="721" t="s">
        <v>2559</v>
      </c>
      <c r="C63" s="722"/>
      <c r="E63" s="70">
        <v>243</v>
      </c>
      <c r="F63" s="721" t="s">
        <v>2560</v>
      </c>
      <c r="G63" s="722"/>
      <c r="I63" s="70">
        <v>418</v>
      </c>
      <c r="J63" s="75" t="s">
        <v>2561</v>
      </c>
    </row>
    <row r="64" spans="1:10" ht="13.5" customHeight="1">
      <c r="A64" s="70">
        <v>57</v>
      </c>
      <c r="B64" s="721" t="s">
        <v>2562</v>
      </c>
      <c r="C64" s="722"/>
      <c r="E64" s="70">
        <v>244</v>
      </c>
      <c r="F64" s="721" t="s">
        <v>2563</v>
      </c>
      <c r="G64" s="722"/>
      <c r="I64" s="70">
        <v>419</v>
      </c>
      <c r="J64" s="75" t="s">
        <v>2564</v>
      </c>
    </row>
    <row r="65" spans="1:10" ht="13.5" customHeight="1">
      <c r="A65" s="70">
        <v>58</v>
      </c>
      <c r="B65" s="721" t="s">
        <v>2565</v>
      </c>
      <c r="C65" s="722"/>
      <c r="E65" s="70">
        <v>548</v>
      </c>
      <c r="F65" s="721" t="s">
        <v>2566</v>
      </c>
      <c r="G65" s="722"/>
      <c r="I65" s="70">
        <v>606</v>
      </c>
      <c r="J65" s="75" t="s">
        <v>2567</v>
      </c>
    </row>
    <row r="66" spans="1:10" ht="13.5" customHeight="1">
      <c r="A66" s="70">
        <v>60</v>
      </c>
      <c r="B66" s="721" t="s">
        <v>2568</v>
      </c>
      <c r="C66" s="722"/>
      <c r="E66" s="70">
        <v>245</v>
      </c>
      <c r="F66" s="721" t="s">
        <v>2569</v>
      </c>
      <c r="G66" s="722"/>
      <c r="I66" s="70">
        <v>421</v>
      </c>
      <c r="J66" s="75" t="s">
        <v>2570</v>
      </c>
    </row>
    <row r="67" spans="1:10" ht="13.5" customHeight="1">
      <c r="A67" s="70">
        <v>61</v>
      </c>
      <c r="B67" s="721" t="s">
        <v>2571</v>
      </c>
      <c r="C67" s="722"/>
      <c r="E67" s="70">
        <v>600</v>
      </c>
      <c r="F67" s="721" t="s">
        <v>2572</v>
      </c>
      <c r="G67" s="722"/>
      <c r="I67" s="70">
        <v>422</v>
      </c>
      <c r="J67" s="75" t="s">
        <v>2573</v>
      </c>
    </row>
    <row r="68" spans="1:10" ht="13.5" customHeight="1">
      <c r="A68" s="70">
        <v>63</v>
      </c>
      <c r="B68" s="721" t="s">
        <v>2574</v>
      </c>
      <c r="C68" s="722"/>
      <c r="E68" s="70">
        <v>246</v>
      </c>
      <c r="F68" s="721" t="s">
        <v>2575</v>
      </c>
      <c r="G68" s="722"/>
      <c r="I68" s="70">
        <v>551</v>
      </c>
      <c r="J68" s="75" t="s">
        <v>2576</v>
      </c>
    </row>
    <row r="69" spans="1:10" ht="13.5" customHeight="1">
      <c r="A69" s="70">
        <v>64</v>
      </c>
      <c r="B69" s="721" t="s">
        <v>2577</v>
      </c>
      <c r="C69" s="722"/>
      <c r="E69" s="70">
        <v>247</v>
      </c>
      <c r="F69" s="721" t="s">
        <v>2578</v>
      </c>
      <c r="G69" s="722"/>
      <c r="I69" s="70">
        <v>423</v>
      </c>
      <c r="J69" s="75" t="s">
        <v>2579</v>
      </c>
    </row>
    <row r="70" spans="1:10" ht="13.5" customHeight="1">
      <c r="A70" s="70">
        <v>65</v>
      </c>
      <c r="B70" s="721" t="s">
        <v>2580</v>
      </c>
      <c r="C70" s="722"/>
      <c r="E70" s="70">
        <v>248</v>
      </c>
      <c r="F70" s="721" t="s">
        <v>2581</v>
      </c>
      <c r="G70" s="722"/>
      <c r="I70" s="70">
        <v>424</v>
      </c>
      <c r="J70" s="75" t="s">
        <v>2582</v>
      </c>
    </row>
    <row r="71" spans="1:10" ht="13.5" customHeight="1">
      <c r="A71" s="70">
        <v>66</v>
      </c>
      <c r="B71" s="721" t="s">
        <v>2583</v>
      </c>
      <c r="C71" s="722"/>
      <c r="E71" s="70">
        <v>578</v>
      </c>
      <c r="F71" s="721" t="s">
        <v>2584</v>
      </c>
      <c r="G71" s="722"/>
      <c r="I71" s="70">
        <v>425</v>
      </c>
      <c r="J71" s="75" t="s">
        <v>2585</v>
      </c>
    </row>
    <row r="72" spans="1:10" ht="13.5" customHeight="1">
      <c r="A72" s="70">
        <v>67</v>
      </c>
      <c r="B72" s="721" t="s">
        <v>2586</v>
      </c>
      <c r="C72" s="722"/>
      <c r="E72" s="70">
        <v>555</v>
      </c>
      <c r="F72" s="721" t="s">
        <v>2587</v>
      </c>
      <c r="G72" s="722"/>
      <c r="I72" s="70">
        <v>426</v>
      </c>
      <c r="J72" s="75" t="s">
        <v>2588</v>
      </c>
    </row>
    <row r="73" spans="1:10" ht="13.5" customHeight="1">
      <c r="A73" s="70">
        <v>68</v>
      </c>
      <c r="B73" s="721" t="s">
        <v>2589</v>
      </c>
      <c r="C73" s="722"/>
      <c r="E73" s="70">
        <v>249</v>
      </c>
      <c r="F73" s="721" t="s">
        <v>2590</v>
      </c>
      <c r="G73" s="722"/>
      <c r="I73" s="70">
        <v>427</v>
      </c>
      <c r="J73" s="75" t="s">
        <v>2591</v>
      </c>
    </row>
    <row r="74" spans="1:10" ht="13.5" customHeight="1">
      <c r="A74" s="70">
        <v>603</v>
      </c>
      <c r="B74" s="721" t="s">
        <v>2592</v>
      </c>
      <c r="C74" s="722"/>
      <c r="E74" s="70">
        <v>250</v>
      </c>
      <c r="F74" s="721" t="s">
        <v>2593</v>
      </c>
      <c r="G74" s="722"/>
      <c r="I74" s="70">
        <v>592</v>
      </c>
      <c r="J74" s="75" t="s">
        <v>2594</v>
      </c>
    </row>
    <row r="75" spans="1:10" ht="13.5" customHeight="1">
      <c r="A75" s="70">
        <v>69</v>
      </c>
      <c r="B75" s="721" t="s">
        <v>2595</v>
      </c>
      <c r="C75" s="722"/>
      <c r="E75" s="70">
        <v>251</v>
      </c>
      <c r="F75" s="721" t="s">
        <v>2596</v>
      </c>
      <c r="G75" s="722"/>
      <c r="I75" s="70">
        <v>607</v>
      </c>
      <c r="J75" s="75" t="s">
        <v>2597</v>
      </c>
    </row>
    <row r="76" spans="1:10" ht="13.5" customHeight="1">
      <c r="A76" s="70">
        <v>70</v>
      </c>
      <c r="B76" s="721" t="s">
        <v>2598</v>
      </c>
      <c r="C76" s="722"/>
      <c r="E76" s="70">
        <v>252</v>
      </c>
      <c r="F76" s="721" t="s">
        <v>2599</v>
      </c>
      <c r="G76" s="722"/>
      <c r="I76" s="70">
        <v>432</v>
      </c>
      <c r="J76" s="75" t="s">
        <v>98</v>
      </c>
    </row>
    <row r="77" spans="1:10" ht="13.5" customHeight="1">
      <c r="A77" s="70">
        <v>71</v>
      </c>
      <c r="B77" s="721" t="s">
        <v>99</v>
      </c>
      <c r="C77" s="722"/>
      <c r="E77" s="70">
        <v>253</v>
      </c>
      <c r="F77" s="721" t="s">
        <v>100</v>
      </c>
      <c r="G77" s="722"/>
      <c r="I77" s="70">
        <v>436</v>
      </c>
      <c r="J77" s="75" t="s">
        <v>98</v>
      </c>
    </row>
    <row r="78" spans="1:10" ht="13.5" customHeight="1">
      <c r="A78" s="70">
        <v>72</v>
      </c>
      <c r="B78" s="721" t="s">
        <v>102</v>
      </c>
      <c r="C78" s="722"/>
      <c r="E78" s="70">
        <v>254</v>
      </c>
      <c r="F78" s="721" t="s">
        <v>103</v>
      </c>
      <c r="G78" s="722"/>
      <c r="I78" s="70">
        <v>437</v>
      </c>
      <c r="J78" s="75" t="s">
        <v>104</v>
      </c>
    </row>
    <row r="79" spans="1:10" ht="13.5" customHeight="1">
      <c r="A79" s="70">
        <v>74</v>
      </c>
      <c r="B79" s="721" t="s">
        <v>105</v>
      </c>
      <c r="C79" s="722"/>
      <c r="E79" s="70">
        <v>256</v>
      </c>
      <c r="F79" s="721" t="s">
        <v>106</v>
      </c>
      <c r="G79" s="722"/>
      <c r="I79" s="70">
        <v>428</v>
      </c>
      <c r="J79" s="75" t="s">
        <v>107</v>
      </c>
    </row>
    <row r="80" spans="1:10" ht="13.5" customHeight="1">
      <c r="A80" s="70">
        <v>75</v>
      </c>
      <c r="B80" s="721" t="s">
        <v>108</v>
      </c>
      <c r="C80" s="722"/>
      <c r="E80" s="70">
        <v>539</v>
      </c>
      <c r="F80" s="721" t="s">
        <v>109</v>
      </c>
      <c r="G80" s="722"/>
      <c r="I80" s="70">
        <v>438</v>
      </c>
      <c r="J80" s="75" t="s">
        <v>110</v>
      </c>
    </row>
    <row r="81" spans="1:10" ht="13.5" customHeight="1">
      <c r="A81" s="70">
        <v>78</v>
      </c>
      <c r="B81" s="721" t="s">
        <v>111</v>
      </c>
      <c r="C81" s="722"/>
      <c r="E81" s="70">
        <v>257</v>
      </c>
      <c r="F81" s="721" t="s">
        <v>112</v>
      </c>
      <c r="G81" s="722"/>
      <c r="I81" s="70">
        <v>429</v>
      </c>
      <c r="J81" s="75" t="s">
        <v>113</v>
      </c>
    </row>
    <row r="82" spans="1:10" ht="13.5" customHeight="1">
      <c r="A82" s="70">
        <v>576</v>
      </c>
      <c r="B82" s="721" t="s">
        <v>114</v>
      </c>
      <c r="C82" s="722"/>
      <c r="E82" s="70">
        <v>258</v>
      </c>
      <c r="F82" s="721" t="s">
        <v>115</v>
      </c>
      <c r="G82" s="722"/>
      <c r="I82" s="70">
        <v>439</v>
      </c>
      <c r="J82" s="75" t="s">
        <v>116</v>
      </c>
    </row>
    <row r="83" spans="1:10" ht="13.5" customHeight="1">
      <c r="A83" s="70">
        <v>79</v>
      </c>
      <c r="B83" s="721" t="s">
        <v>117</v>
      </c>
      <c r="C83" s="722"/>
      <c r="E83" s="70">
        <v>610</v>
      </c>
      <c r="F83" s="721" t="s">
        <v>118</v>
      </c>
      <c r="G83" s="722"/>
      <c r="I83" s="70">
        <v>440</v>
      </c>
      <c r="J83" s="75" t="s">
        <v>119</v>
      </c>
    </row>
    <row r="84" spans="1:10" ht="13.5" customHeight="1">
      <c r="A84" s="70">
        <v>80</v>
      </c>
      <c r="B84" s="721" t="s">
        <v>120</v>
      </c>
      <c r="C84" s="722"/>
      <c r="E84" s="70">
        <v>259</v>
      </c>
      <c r="F84" s="721" t="s">
        <v>121</v>
      </c>
      <c r="G84" s="722"/>
      <c r="I84" s="70">
        <v>430</v>
      </c>
      <c r="J84" s="75" t="s">
        <v>1350</v>
      </c>
    </row>
    <row r="85" spans="1:10" ht="13.5" customHeight="1">
      <c r="A85" s="70">
        <v>81</v>
      </c>
      <c r="B85" s="721" t="s">
        <v>1351</v>
      </c>
      <c r="C85" s="722"/>
      <c r="E85" s="70">
        <v>260</v>
      </c>
      <c r="F85" s="721" t="s">
        <v>1352</v>
      </c>
      <c r="G85" s="722"/>
      <c r="I85" s="70">
        <v>431</v>
      </c>
      <c r="J85" s="75" t="s">
        <v>1353</v>
      </c>
    </row>
    <row r="86" spans="1:10" ht="13.5" customHeight="1">
      <c r="A86" s="70">
        <v>82</v>
      </c>
      <c r="B86" s="721" t="s">
        <v>1354</v>
      </c>
      <c r="C86" s="722"/>
      <c r="E86" s="70">
        <v>261</v>
      </c>
      <c r="F86" s="721" t="s">
        <v>1355</v>
      </c>
      <c r="G86" s="722"/>
      <c r="I86" s="70">
        <v>441</v>
      </c>
      <c r="J86" s="75" t="s">
        <v>1356</v>
      </c>
    </row>
    <row r="87" spans="1:10" ht="13.5" customHeight="1">
      <c r="A87" s="70">
        <v>83</v>
      </c>
      <c r="B87" s="721" t="s">
        <v>1357</v>
      </c>
      <c r="C87" s="722"/>
      <c r="E87" s="70">
        <v>263</v>
      </c>
      <c r="F87" s="721" t="s">
        <v>1358</v>
      </c>
      <c r="G87" s="722"/>
      <c r="I87" s="70">
        <v>442</v>
      </c>
      <c r="J87" s="75" t="s">
        <v>1053</v>
      </c>
    </row>
    <row r="88" spans="1:10" ht="13.5" customHeight="1">
      <c r="A88" s="70">
        <v>84</v>
      </c>
      <c r="B88" s="721" t="s">
        <v>1054</v>
      </c>
      <c r="C88" s="722"/>
      <c r="E88" s="70">
        <v>264</v>
      </c>
      <c r="F88" s="721" t="s">
        <v>1055</v>
      </c>
      <c r="G88" s="722"/>
      <c r="I88" s="70">
        <v>433</v>
      </c>
      <c r="J88" s="75" t="s">
        <v>1056</v>
      </c>
    </row>
    <row r="89" spans="1:10" ht="13.5" customHeight="1">
      <c r="A89" s="70">
        <v>85</v>
      </c>
      <c r="B89" s="721" t="s">
        <v>1057</v>
      </c>
      <c r="C89" s="722"/>
      <c r="E89" s="70">
        <v>265</v>
      </c>
      <c r="F89" s="721" t="s">
        <v>1058</v>
      </c>
      <c r="G89" s="722"/>
      <c r="I89" s="70">
        <v>435</v>
      </c>
      <c r="J89" s="75" t="s">
        <v>1059</v>
      </c>
    </row>
    <row r="90" spans="1:10" ht="13.5" customHeight="1">
      <c r="A90" s="70">
        <v>86</v>
      </c>
      <c r="B90" s="721" t="s">
        <v>1060</v>
      </c>
      <c r="C90" s="722"/>
      <c r="E90" s="70">
        <v>266</v>
      </c>
      <c r="F90" s="721" t="s">
        <v>1061</v>
      </c>
      <c r="G90" s="722"/>
      <c r="I90" s="70">
        <v>564</v>
      </c>
      <c r="J90" s="75" t="s">
        <v>1062</v>
      </c>
    </row>
    <row r="91" spans="1:10" ht="13.5" customHeight="1">
      <c r="A91" s="70">
        <v>89</v>
      </c>
      <c r="B91" s="721" t="s">
        <v>1063</v>
      </c>
      <c r="C91" s="722"/>
      <c r="E91" s="70">
        <v>267</v>
      </c>
      <c r="F91" s="721" t="s">
        <v>1064</v>
      </c>
      <c r="G91" s="722"/>
      <c r="I91" s="70">
        <v>608</v>
      </c>
      <c r="J91" s="75" t="s">
        <v>1065</v>
      </c>
    </row>
    <row r="92" spans="1:10" ht="13.5" customHeight="1">
      <c r="A92" s="70">
        <v>568</v>
      </c>
      <c r="B92" s="721" t="s">
        <v>1066</v>
      </c>
      <c r="C92" s="722"/>
      <c r="E92" s="70">
        <v>268</v>
      </c>
      <c r="F92" s="721" t="s">
        <v>1067</v>
      </c>
      <c r="G92" s="722"/>
      <c r="I92" s="70">
        <v>443</v>
      </c>
      <c r="J92" s="75" t="s">
        <v>1068</v>
      </c>
    </row>
    <row r="93" spans="1:10" ht="13.5" customHeight="1">
      <c r="A93" s="70">
        <v>90</v>
      </c>
      <c r="B93" s="721" t="s">
        <v>1069</v>
      </c>
      <c r="C93" s="722"/>
      <c r="E93" s="70">
        <v>270</v>
      </c>
      <c r="F93" s="721" t="s">
        <v>1070</v>
      </c>
      <c r="G93" s="722"/>
      <c r="I93" s="70">
        <v>444</v>
      </c>
      <c r="J93" s="75" t="s">
        <v>1071</v>
      </c>
    </row>
    <row r="94" spans="1:10" ht="13.5" customHeight="1">
      <c r="A94" s="70">
        <v>91</v>
      </c>
      <c r="B94" s="721" t="s">
        <v>1072</v>
      </c>
      <c r="C94" s="722"/>
      <c r="E94" s="70">
        <v>273</v>
      </c>
      <c r="F94" s="721" t="s">
        <v>1073</v>
      </c>
      <c r="G94" s="722"/>
      <c r="I94" s="70">
        <v>445</v>
      </c>
      <c r="J94" s="75" t="s">
        <v>1074</v>
      </c>
    </row>
    <row r="95" spans="1:10" ht="13.5" customHeight="1">
      <c r="A95" s="70">
        <v>92</v>
      </c>
      <c r="B95" s="721" t="s">
        <v>1075</v>
      </c>
      <c r="C95" s="722"/>
      <c r="E95" s="70">
        <v>274</v>
      </c>
      <c r="F95" s="721" t="s">
        <v>1076</v>
      </c>
      <c r="G95" s="722"/>
      <c r="I95" s="70">
        <v>614</v>
      </c>
      <c r="J95" s="75" t="s">
        <v>1077</v>
      </c>
    </row>
    <row r="96" spans="1:10" ht="13.5" customHeight="1">
      <c r="A96" s="70">
        <v>94</v>
      </c>
      <c r="B96" s="721" t="s">
        <v>1078</v>
      </c>
      <c r="C96" s="722"/>
      <c r="E96" s="70">
        <v>275</v>
      </c>
      <c r="F96" s="721" t="s">
        <v>1079</v>
      </c>
      <c r="G96" s="722"/>
      <c r="I96" s="70">
        <v>447</v>
      </c>
      <c r="J96" s="75" t="s">
        <v>1080</v>
      </c>
    </row>
    <row r="97" spans="1:10" ht="13.5" customHeight="1">
      <c r="A97" s="70">
        <v>95</v>
      </c>
      <c r="B97" s="721" t="s">
        <v>1081</v>
      </c>
      <c r="C97" s="722"/>
      <c r="E97" s="70">
        <v>87</v>
      </c>
      <c r="F97" s="721" t="s">
        <v>1082</v>
      </c>
      <c r="G97" s="722"/>
      <c r="I97" s="70">
        <v>449</v>
      </c>
      <c r="J97" s="75" t="s">
        <v>1083</v>
      </c>
    </row>
    <row r="98" spans="1:10" ht="13.5" customHeight="1">
      <c r="A98" s="70">
        <v>96</v>
      </c>
      <c r="B98" s="721" t="s">
        <v>1084</v>
      </c>
      <c r="C98" s="722"/>
      <c r="E98" s="70">
        <v>276</v>
      </c>
      <c r="F98" s="721" t="s">
        <v>1085</v>
      </c>
      <c r="G98" s="722"/>
      <c r="I98" s="70">
        <v>450</v>
      </c>
      <c r="J98" s="75" t="s">
        <v>1086</v>
      </c>
    </row>
    <row r="99" spans="1:10" ht="13.5" customHeight="1">
      <c r="A99" s="70">
        <v>97</v>
      </c>
      <c r="B99" s="721" t="s">
        <v>1087</v>
      </c>
      <c r="C99" s="722"/>
      <c r="E99" s="70">
        <v>617</v>
      </c>
      <c r="F99" s="721" t="s">
        <v>1088</v>
      </c>
      <c r="G99" s="722"/>
      <c r="I99" s="70">
        <v>628</v>
      </c>
      <c r="J99" s="75" t="s">
        <v>1089</v>
      </c>
    </row>
    <row r="100" spans="1:10" ht="13.5" customHeight="1">
      <c r="A100" s="70">
        <v>549</v>
      </c>
      <c r="B100" s="721" t="s">
        <v>139</v>
      </c>
      <c r="C100" s="722"/>
      <c r="E100" s="70">
        <v>278</v>
      </c>
      <c r="F100" s="721" t="s">
        <v>140</v>
      </c>
      <c r="G100" s="722"/>
      <c r="I100" s="70">
        <v>452</v>
      </c>
      <c r="J100" s="75" t="s">
        <v>141</v>
      </c>
    </row>
    <row r="101" spans="1:10" ht="13.5" customHeight="1">
      <c r="A101" s="70">
        <v>598</v>
      </c>
      <c r="B101" s="721" t="s">
        <v>142</v>
      </c>
      <c r="C101" s="722"/>
      <c r="E101" s="70">
        <v>279</v>
      </c>
      <c r="F101" s="721" t="s">
        <v>143</v>
      </c>
      <c r="G101" s="722"/>
      <c r="I101" s="70">
        <v>631</v>
      </c>
      <c r="J101" s="75" t="s">
        <v>1279</v>
      </c>
    </row>
    <row r="102" spans="1:10" ht="13.5" customHeight="1">
      <c r="A102" s="70">
        <v>98</v>
      </c>
      <c r="B102" s="721" t="s">
        <v>1280</v>
      </c>
      <c r="C102" s="722"/>
      <c r="E102" s="70">
        <v>612</v>
      </c>
      <c r="F102" s="721" t="s">
        <v>1281</v>
      </c>
      <c r="G102" s="722"/>
      <c r="I102" s="70">
        <v>453</v>
      </c>
      <c r="J102" s="75" t="s">
        <v>1282</v>
      </c>
    </row>
    <row r="103" spans="1:10" ht="13.5" customHeight="1">
      <c r="A103" s="70">
        <v>99</v>
      </c>
      <c r="B103" s="721" t="s">
        <v>1283</v>
      </c>
      <c r="C103" s="722"/>
      <c r="E103" s="70">
        <v>280</v>
      </c>
      <c r="F103" s="721" t="s">
        <v>1284</v>
      </c>
      <c r="G103" s="722"/>
      <c r="I103" s="70">
        <v>454</v>
      </c>
      <c r="J103" s="75" t="s">
        <v>1285</v>
      </c>
    </row>
    <row r="104" spans="1:10" ht="13.5" customHeight="1">
      <c r="A104" s="70">
        <v>100</v>
      </c>
      <c r="B104" s="721" t="s">
        <v>1286</v>
      </c>
      <c r="C104" s="722"/>
      <c r="E104" s="70">
        <v>281</v>
      </c>
      <c r="F104" s="721" t="s">
        <v>1287</v>
      </c>
      <c r="G104" s="722"/>
      <c r="I104" s="70">
        <v>575</v>
      </c>
      <c r="J104" s="75" t="s">
        <v>1288</v>
      </c>
    </row>
    <row r="105" spans="1:10" ht="13.5" customHeight="1">
      <c r="A105" s="70">
        <v>101</v>
      </c>
      <c r="B105" s="721" t="s">
        <v>1289</v>
      </c>
      <c r="C105" s="722"/>
      <c r="E105" s="70">
        <v>295</v>
      </c>
      <c r="F105" s="721" t="s">
        <v>1290</v>
      </c>
      <c r="G105" s="722"/>
      <c r="I105" s="70">
        <v>456</v>
      </c>
      <c r="J105" s="75" t="s">
        <v>1291</v>
      </c>
    </row>
    <row r="106" spans="1:10" ht="13.5" customHeight="1">
      <c r="A106" s="70">
        <v>585</v>
      </c>
      <c r="B106" s="721" t="s">
        <v>1292</v>
      </c>
      <c r="C106" s="722"/>
      <c r="E106" s="70">
        <v>282</v>
      </c>
      <c r="F106" s="721" t="s">
        <v>1293</v>
      </c>
      <c r="G106" s="722"/>
      <c r="I106" s="70">
        <v>457</v>
      </c>
      <c r="J106" s="75" t="s">
        <v>1294</v>
      </c>
    </row>
    <row r="107" spans="1:10" ht="13.5" customHeight="1">
      <c r="A107" s="70">
        <v>102</v>
      </c>
      <c r="B107" s="721" t="s">
        <v>1295</v>
      </c>
      <c r="C107" s="722"/>
      <c r="E107" s="70">
        <v>283</v>
      </c>
      <c r="F107" s="721" t="s">
        <v>1296</v>
      </c>
      <c r="G107" s="722"/>
      <c r="I107" s="70">
        <v>458</v>
      </c>
      <c r="J107" s="75" t="s">
        <v>1297</v>
      </c>
    </row>
    <row r="108" spans="1:10" ht="13.5" customHeight="1">
      <c r="A108" s="70">
        <v>103</v>
      </c>
      <c r="B108" s="721" t="s">
        <v>1298</v>
      </c>
      <c r="C108" s="722"/>
      <c r="E108" s="70">
        <v>284</v>
      </c>
      <c r="F108" s="721" t="s">
        <v>1299</v>
      </c>
      <c r="G108" s="722"/>
      <c r="I108" s="70">
        <v>557</v>
      </c>
      <c r="J108" s="75" t="s">
        <v>1300</v>
      </c>
    </row>
    <row r="109" spans="1:10" ht="13.5" customHeight="1">
      <c r="A109" s="70">
        <v>104</v>
      </c>
      <c r="B109" s="721" t="s">
        <v>1301</v>
      </c>
      <c r="C109" s="722"/>
      <c r="E109" s="70">
        <v>285</v>
      </c>
      <c r="F109" s="721" t="s">
        <v>1302</v>
      </c>
      <c r="G109" s="722"/>
      <c r="I109" s="70">
        <v>459</v>
      </c>
      <c r="J109" s="75" t="s">
        <v>1153</v>
      </c>
    </row>
    <row r="110" spans="1:10" ht="13.5" customHeight="1">
      <c r="A110" s="70">
        <v>105</v>
      </c>
      <c r="B110" s="721" t="s">
        <v>1154</v>
      </c>
      <c r="C110" s="722"/>
      <c r="E110" s="70">
        <v>287</v>
      </c>
      <c r="F110" s="721" t="s">
        <v>1155</v>
      </c>
      <c r="G110" s="722"/>
      <c r="I110" s="70">
        <v>626</v>
      </c>
      <c r="J110" s="75" t="s">
        <v>1156</v>
      </c>
    </row>
    <row r="111" spans="1:10" ht="13.5" customHeight="1">
      <c r="A111" s="70">
        <v>106</v>
      </c>
      <c r="B111" s="721" t="s">
        <v>1157</v>
      </c>
      <c r="C111" s="722"/>
      <c r="E111" s="70">
        <v>288</v>
      </c>
      <c r="F111" s="721" t="s">
        <v>1158</v>
      </c>
      <c r="G111" s="722"/>
      <c r="I111" s="70">
        <v>460</v>
      </c>
      <c r="J111" s="75" t="s">
        <v>1159</v>
      </c>
    </row>
    <row r="112" spans="1:10" ht="13.5" customHeight="1">
      <c r="A112" s="70">
        <v>107</v>
      </c>
      <c r="B112" s="721" t="s">
        <v>1160</v>
      </c>
      <c r="C112" s="722"/>
      <c r="E112" s="70">
        <v>554</v>
      </c>
      <c r="F112" s="721" t="s">
        <v>2321</v>
      </c>
      <c r="G112" s="722"/>
      <c r="I112" s="70">
        <v>461</v>
      </c>
      <c r="J112" s="75" t="s">
        <v>2322</v>
      </c>
    </row>
    <row r="113" spans="1:10" ht="13.5" customHeight="1">
      <c r="A113" s="70">
        <v>108</v>
      </c>
      <c r="B113" s="721" t="s">
        <v>2323</v>
      </c>
      <c r="C113" s="722"/>
      <c r="E113" s="70">
        <v>289</v>
      </c>
      <c r="F113" s="721" t="s">
        <v>2324</v>
      </c>
      <c r="G113" s="722"/>
      <c r="I113" s="70">
        <v>462</v>
      </c>
      <c r="J113" s="75" t="s">
        <v>2325</v>
      </c>
    </row>
    <row r="114" spans="1:10" ht="13.5" customHeight="1">
      <c r="A114" s="70">
        <v>110</v>
      </c>
      <c r="B114" s="721" t="s">
        <v>2326</v>
      </c>
      <c r="C114" s="722"/>
      <c r="E114" s="70">
        <v>290</v>
      </c>
      <c r="F114" s="721" t="s">
        <v>2327</v>
      </c>
      <c r="G114" s="722"/>
      <c r="I114" s="70">
        <v>463</v>
      </c>
      <c r="J114" s="75" t="s">
        <v>2328</v>
      </c>
    </row>
    <row r="115" spans="1:10" ht="13.5" customHeight="1">
      <c r="A115" s="70">
        <v>111</v>
      </c>
      <c r="B115" s="721" t="s">
        <v>2329</v>
      </c>
      <c r="C115" s="722"/>
      <c r="E115" s="70">
        <v>537</v>
      </c>
      <c r="F115" s="721" t="s">
        <v>2330</v>
      </c>
      <c r="G115" s="722"/>
      <c r="I115" s="70">
        <v>601</v>
      </c>
      <c r="J115" s="75" t="s">
        <v>2331</v>
      </c>
    </row>
    <row r="116" spans="1:10" ht="13.5" customHeight="1">
      <c r="A116" s="70">
        <v>113</v>
      </c>
      <c r="B116" s="721" t="s">
        <v>2332</v>
      </c>
      <c r="C116" s="722"/>
      <c r="E116" s="70">
        <v>291</v>
      </c>
      <c r="F116" s="721" t="s">
        <v>2330</v>
      </c>
      <c r="G116" s="722"/>
      <c r="I116" s="70">
        <v>464</v>
      </c>
      <c r="J116" s="75" t="s">
        <v>2333</v>
      </c>
    </row>
    <row r="117" spans="1:10" ht="13.5" customHeight="1">
      <c r="A117" s="70">
        <v>114</v>
      </c>
      <c r="B117" s="721" t="s">
        <v>2334</v>
      </c>
      <c r="C117" s="722"/>
      <c r="E117" s="70">
        <v>292</v>
      </c>
      <c r="F117" s="721" t="s">
        <v>2335</v>
      </c>
      <c r="G117" s="722"/>
      <c r="I117" s="70">
        <v>593</v>
      </c>
      <c r="J117" s="75" t="s">
        <v>2336</v>
      </c>
    </row>
    <row r="118" spans="1:10" ht="13.5" customHeight="1">
      <c r="A118" s="70">
        <v>619</v>
      </c>
      <c r="B118" s="721" t="s">
        <v>2337</v>
      </c>
      <c r="C118" s="722"/>
      <c r="E118" s="70">
        <v>561</v>
      </c>
      <c r="F118" s="721" t="s">
        <v>2338</v>
      </c>
      <c r="G118" s="722"/>
      <c r="I118" s="70">
        <v>466</v>
      </c>
      <c r="J118" s="75" t="s">
        <v>2339</v>
      </c>
    </row>
    <row r="119" spans="1:10" ht="13.5" customHeight="1">
      <c r="A119" s="70">
        <v>115</v>
      </c>
      <c r="B119" s="721" t="s">
        <v>2340</v>
      </c>
      <c r="C119" s="722"/>
      <c r="E119" s="70">
        <v>293</v>
      </c>
      <c r="F119" s="721" t="s">
        <v>2341</v>
      </c>
      <c r="G119" s="722"/>
      <c r="I119" s="70">
        <v>467</v>
      </c>
      <c r="J119" s="75" t="s">
        <v>2342</v>
      </c>
    </row>
    <row r="120" spans="1:10" ht="13.5" customHeight="1">
      <c r="A120" s="70">
        <v>116</v>
      </c>
      <c r="B120" s="721" t="s">
        <v>2343</v>
      </c>
      <c r="C120" s="722"/>
      <c r="E120" s="70">
        <v>294</v>
      </c>
      <c r="F120" s="721" t="s">
        <v>2344</v>
      </c>
      <c r="G120" s="722"/>
      <c r="I120" s="70">
        <v>468</v>
      </c>
      <c r="J120" s="75" t="s">
        <v>2345</v>
      </c>
    </row>
    <row r="121" spans="1:10" ht="13.5" customHeight="1">
      <c r="A121" s="70">
        <v>629</v>
      </c>
      <c r="B121" s="721" t="s">
        <v>2346</v>
      </c>
      <c r="C121" s="722"/>
      <c r="E121" s="70">
        <v>296</v>
      </c>
      <c r="F121" s="721" t="s">
        <v>2347</v>
      </c>
      <c r="G121" s="722"/>
      <c r="I121" s="70">
        <v>469</v>
      </c>
      <c r="J121" s="75" t="s">
        <v>2348</v>
      </c>
    </row>
    <row r="122" spans="1:10" ht="13.5" customHeight="1">
      <c r="A122" s="70">
        <v>117</v>
      </c>
      <c r="B122" s="721" t="s">
        <v>2349</v>
      </c>
      <c r="C122" s="722"/>
      <c r="E122" s="70">
        <v>297</v>
      </c>
      <c r="F122" s="721" t="s">
        <v>2350</v>
      </c>
      <c r="G122" s="722"/>
      <c r="I122" s="70">
        <v>471</v>
      </c>
      <c r="J122" s="75" t="s">
        <v>2351</v>
      </c>
    </row>
    <row r="123" spans="1:10" ht="13.5" customHeight="1">
      <c r="A123" s="70">
        <v>571</v>
      </c>
      <c r="B123" s="721" t="s">
        <v>2352</v>
      </c>
      <c r="C123" s="722"/>
      <c r="E123" s="70">
        <v>588</v>
      </c>
      <c r="F123" s="721" t="s">
        <v>2353</v>
      </c>
      <c r="G123" s="722"/>
      <c r="I123" s="70">
        <v>472</v>
      </c>
      <c r="J123" s="75" t="s">
        <v>2354</v>
      </c>
    </row>
    <row r="124" spans="1:10" ht="13.5" customHeight="1">
      <c r="A124" s="70">
        <v>118</v>
      </c>
      <c r="B124" s="721" t="s">
        <v>2355</v>
      </c>
      <c r="C124" s="722"/>
      <c r="E124" s="70">
        <v>299</v>
      </c>
      <c r="F124" s="721" t="s">
        <v>1004</v>
      </c>
      <c r="G124" s="722"/>
      <c r="I124" s="70">
        <v>473</v>
      </c>
      <c r="J124" s="75" t="s">
        <v>1005</v>
      </c>
    </row>
    <row r="125" spans="1:10" ht="13.5" customHeight="1">
      <c r="A125" s="70">
        <v>119</v>
      </c>
      <c r="B125" s="721" t="s">
        <v>1006</v>
      </c>
      <c r="C125" s="722"/>
      <c r="E125" s="70">
        <v>300</v>
      </c>
      <c r="F125" s="721" t="s">
        <v>1007</v>
      </c>
      <c r="G125" s="722"/>
      <c r="I125" s="70">
        <v>474</v>
      </c>
      <c r="J125" s="75" t="s">
        <v>1008</v>
      </c>
    </row>
    <row r="126" spans="1:10" ht="13.5" customHeight="1">
      <c r="A126" s="70">
        <v>120</v>
      </c>
      <c r="B126" s="721" t="s">
        <v>1009</v>
      </c>
      <c r="C126" s="722"/>
      <c r="E126" s="70">
        <v>301</v>
      </c>
      <c r="F126" s="721" t="s">
        <v>1010</v>
      </c>
      <c r="G126" s="722"/>
      <c r="I126" s="70">
        <v>475</v>
      </c>
      <c r="J126" s="75" t="s">
        <v>1011</v>
      </c>
    </row>
    <row r="127" spans="1:10" ht="13.5" customHeight="1">
      <c r="A127" s="70">
        <v>121</v>
      </c>
      <c r="B127" s="721" t="s">
        <v>1012</v>
      </c>
      <c r="C127" s="722"/>
      <c r="E127" s="70">
        <v>302</v>
      </c>
      <c r="F127" s="721" t="s">
        <v>1013</v>
      </c>
      <c r="G127" s="722"/>
      <c r="I127" s="70">
        <v>541</v>
      </c>
      <c r="J127" s="75" t="s">
        <v>1014</v>
      </c>
    </row>
    <row r="128" spans="1:10" ht="13.5" customHeight="1">
      <c r="A128" s="70">
        <v>122</v>
      </c>
      <c r="B128" s="721" t="s">
        <v>1015</v>
      </c>
      <c r="C128" s="722"/>
      <c r="E128" s="70">
        <v>303</v>
      </c>
      <c r="F128" s="721" t="s">
        <v>1016</v>
      </c>
      <c r="G128" s="722"/>
      <c r="I128" s="70">
        <v>476</v>
      </c>
      <c r="J128" s="75" t="s">
        <v>1017</v>
      </c>
    </row>
    <row r="129" spans="1:10" ht="13.5" customHeight="1">
      <c r="A129" s="70">
        <v>123</v>
      </c>
      <c r="B129" s="721" t="s">
        <v>1018</v>
      </c>
      <c r="C129" s="722"/>
      <c r="E129" s="70">
        <v>304</v>
      </c>
      <c r="F129" s="721" t="s">
        <v>1019</v>
      </c>
      <c r="G129" s="722"/>
      <c r="I129" s="70">
        <v>477</v>
      </c>
      <c r="J129" s="75" t="s">
        <v>1020</v>
      </c>
    </row>
    <row r="130" spans="1:10" ht="13.5" customHeight="1">
      <c r="A130" s="70">
        <v>124</v>
      </c>
      <c r="B130" s="721" t="s">
        <v>1021</v>
      </c>
      <c r="C130" s="722"/>
      <c r="E130" s="70">
        <v>306</v>
      </c>
      <c r="F130" s="721" t="s">
        <v>1022</v>
      </c>
      <c r="G130" s="722"/>
      <c r="I130" s="70">
        <v>478</v>
      </c>
      <c r="J130" s="75" t="s">
        <v>1023</v>
      </c>
    </row>
    <row r="131" spans="1:10" ht="13.5" customHeight="1">
      <c r="A131" s="70">
        <v>618</v>
      </c>
      <c r="B131" s="721" t="s">
        <v>1024</v>
      </c>
      <c r="C131" s="722"/>
      <c r="E131" s="70">
        <v>307</v>
      </c>
      <c r="F131" s="721" t="s">
        <v>1025</v>
      </c>
      <c r="G131" s="722"/>
      <c r="I131" s="70">
        <v>565</v>
      </c>
      <c r="J131" s="75" t="s">
        <v>1026</v>
      </c>
    </row>
    <row r="132" spans="1:10" ht="13.5" customHeight="1">
      <c r="A132" s="70">
        <v>125</v>
      </c>
      <c r="B132" s="721" t="s">
        <v>1027</v>
      </c>
      <c r="C132" s="722"/>
      <c r="E132" s="70">
        <v>308</v>
      </c>
      <c r="F132" s="721" t="s">
        <v>1028</v>
      </c>
      <c r="G132" s="722"/>
      <c r="I132" s="70">
        <v>558</v>
      </c>
      <c r="J132" s="75" t="s">
        <v>1029</v>
      </c>
    </row>
    <row r="133" spans="1:10" ht="13.5" customHeight="1">
      <c r="A133" s="70">
        <v>569</v>
      </c>
      <c r="B133" s="721" t="s">
        <v>1030</v>
      </c>
      <c r="C133" s="722"/>
      <c r="E133" s="70">
        <v>605</v>
      </c>
      <c r="F133" s="721" t="s">
        <v>1031</v>
      </c>
      <c r="G133" s="722"/>
      <c r="I133" s="70">
        <v>480</v>
      </c>
      <c r="J133" s="75" t="s">
        <v>1032</v>
      </c>
    </row>
    <row r="134" spans="1:10" ht="13.5" customHeight="1">
      <c r="A134" s="71">
        <v>127</v>
      </c>
      <c r="B134" s="719" t="s">
        <v>1033</v>
      </c>
      <c r="C134" s="720"/>
      <c r="E134" s="71">
        <v>309</v>
      </c>
      <c r="F134" s="719" t="s">
        <v>1034</v>
      </c>
      <c r="G134" s="720"/>
      <c r="I134" s="71">
        <v>481</v>
      </c>
      <c r="J134" s="72" t="s">
        <v>1035</v>
      </c>
    </row>
    <row r="135" spans="1:10" ht="13.5" customHeight="1">
      <c r="A135" s="71">
        <v>129</v>
      </c>
      <c r="B135" s="719" t="s">
        <v>1036</v>
      </c>
      <c r="C135" s="720"/>
      <c r="E135" s="71">
        <v>542</v>
      </c>
      <c r="F135" s="719" t="s">
        <v>1037</v>
      </c>
      <c r="G135" s="720"/>
      <c r="I135" s="71">
        <v>483</v>
      </c>
      <c r="J135" s="72" t="s">
        <v>1038</v>
      </c>
    </row>
    <row r="136" spans="1:10" ht="13.5" customHeight="1">
      <c r="A136" s="71">
        <v>604</v>
      </c>
      <c r="B136" s="719" t="s">
        <v>1039</v>
      </c>
      <c r="C136" s="720"/>
      <c r="E136" s="71">
        <v>311</v>
      </c>
      <c r="F136" s="719" t="s">
        <v>1040</v>
      </c>
      <c r="G136" s="720"/>
      <c r="I136" s="71">
        <v>484</v>
      </c>
      <c r="J136" s="72" t="s">
        <v>1230</v>
      </c>
    </row>
    <row r="137" spans="1:10" ht="13.5" customHeight="1">
      <c r="A137" s="71">
        <v>130</v>
      </c>
      <c r="B137" s="719" t="s">
        <v>1231</v>
      </c>
      <c r="C137" s="720"/>
      <c r="E137" s="71">
        <v>312</v>
      </c>
      <c r="F137" s="719" t="s">
        <v>1232</v>
      </c>
      <c r="G137" s="720"/>
      <c r="I137" s="71">
        <v>485</v>
      </c>
      <c r="J137" s="72" t="s">
        <v>1233</v>
      </c>
    </row>
    <row r="138" spans="1:10" ht="13.5" customHeight="1">
      <c r="A138" s="71">
        <v>131</v>
      </c>
      <c r="B138" s="719" t="s">
        <v>1234</v>
      </c>
      <c r="C138" s="720"/>
      <c r="E138" s="71">
        <v>313</v>
      </c>
      <c r="F138" s="719" t="s">
        <v>1235</v>
      </c>
      <c r="G138" s="720"/>
      <c r="I138" s="71">
        <v>486</v>
      </c>
      <c r="J138" s="72" t="s">
        <v>1236</v>
      </c>
    </row>
    <row r="139" spans="1:10" ht="13.5" customHeight="1">
      <c r="A139" s="71">
        <v>132</v>
      </c>
      <c r="B139" s="719" t="s">
        <v>1237</v>
      </c>
      <c r="C139" s="720"/>
      <c r="E139" s="71">
        <v>314</v>
      </c>
      <c r="F139" s="719" t="s">
        <v>1238</v>
      </c>
      <c r="G139" s="720"/>
      <c r="I139" s="71">
        <v>487</v>
      </c>
      <c r="J139" s="72" t="s">
        <v>1239</v>
      </c>
    </row>
    <row r="140" spans="1:10" ht="13.5" customHeight="1">
      <c r="A140" s="71">
        <v>134</v>
      </c>
      <c r="B140" s="719" t="s">
        <v>1240</v>
      </c>
      <c r="C140" s="720"/>
      <c r="E140" s="71">
        <v>535</v>
      </c>
      <c r="F140" s="719" t="s">
        <v>1241</v>
      </c>
      <c r="G140" s="720"/>
      <c r="I140" s="71">
        <v>488</v>
      </c>
      <c r="J140" s="72" t="s">
        <v>1242</v>
      </c>
    </row>
    <row r="141" spans="1:10" ht="13.5" customHeight="1">
      <c r="A141" s="71">
        <v>135</v>
      </c>
      <c r="B141" s="719" t="s">
        <v>1243</v>
      </c>
      <c r="C141" s="720"/>
      <c r="E141" s="71">
        <v>315</v>
      </c>
      <c r="F141" s="719" t="s">
        <v>1244</v>
      </c>
      <c r="G141" s="720"/>
      <c r="I141" s="71">
        <v>489</v>
      </c>
      <c r="J141" s="72" t="s">
        <v>1245</v>
      </c>
    </row>
    <row r="142" spans="1:10" ht="13.5" customHeight="1">
      <c r="A142" s="71">
        <v>136</v>
      </c>
      <c r="B142" s="719" t="s">
        <v>1246</v>
      </c>
      <c r="C142" s="720"/>
      <c r="E142" s="71">
        <v>316</v>
      </c>
      <c r="F142" s="719" t="s">
        <v>1247</v>
      </c>
      <c r="G142" s="720"/>
      <c r="I142" s="71">
        <v>490</v>
      </c>
      <c r="J142" s="72" t="s">
        <v>1248</v>
      </c>
    </row>
    <row r="143" spans="1:10" ht="13.5" customHeight="1">
      <c r="A143" s="71">
        <v>137</v>
      </c>
      <c r="B143" s="719" t="s">
        <v>1249</v>
      </c>
      <c r="C143" s="720"/>
      <c r="E143" s="71">
        <v>317</v>
      </c>
      <c r="F143" s="719" t="s">
        <v>1250</v>
      </c>
      <c r="G143" s="720"/>
      <c r="I143" s="71">
        <v>491</v>
      </c>
      <c r="J143" s="72" t="s">
        <v>1251</v>
      </c>
    </row>
    <row r="144" spans="1:10" ht="13.5" customHeight="1">
      <c r="A144" s="71">
        <v>138</v>
      </c>
      <c r="B144" s="719" t="s">
        <v>1252</v>
      </c>
      <c r="C144" s="720"/>
      <c r="E144" s="71">
        <v>318</v>
      </c>
      <c r="F144" s="719" t="s">
        <v>1253</v>
      </c>
      <c r="G144" s="720"/>
      <c r="I144" s="71">
        <v>492</v>
      </c>
      <c r="J144" s="72" t="s">
        <v>1254</v>
      </c>
    </row>
    <row r="145" spans="1:10" ht="13.5" customHeight="1">
      <c r="A145" s="71">
        <v>139</v>
      </c>
      <c r="B145" s="719" t="s">
        <v>1255</v>
      </c>
      <c r="C145" s="720"/>
      <c r="E145" s="71">
        <v>320</v>
      </c>
      <c r="F145" s="719" t="s">
        <v>1256</v>
      </c>
      <c r="G145" s="720"/>
      <c r="I145" s="71">
        <v>493</v>
      </c>
      <c r="J145" s="72" t="s">
        <v>1257</v>
      </c>
    </row>
    <row r="146" spans="1:10" ht="13.5" customHeight="1">
      <c r="A146" s="71">
        <v>140</v>
      </c>
      <c r="B146" s="719" t="s">
        <v>1258</v>
      </c>
      <c r="C146" s="720"/>
      <c r="E146" s="71">
        <v>321</v>
      </c>
      <c r="F146" s="719" t="s">
        <v>1259</v>
      </c>
      <c r="G146" s="720"/>
      <c r="I146" s="71">
        <v>494</v>
      </c>
      <c r="J146" s="72" t="s">
        <v>1260</v>
      </c>
    </row>
    <row r="147" spans="1:10" ht="13.5" customHeight="1">
      <c r="A147" s="71">
        <v>141</v>
      </c>
      <c r="B147" s="719" t="s">
        <v>1261</v>
      </c>
      <c r="C147" s="720"/>
      <c r="E147" s="71">
        <v>323</v>
      </c>
      <c r="F147" s="719" t="s">
        <v>1262</v>
      </c>
      <c r="G147" s="720"/>
      <c r="I147" s="71">
        <v>495</v>
      </c>
      <c r="J147" s="72" t="s">
        <v>1263</v>
      </c>
    </row>
    <row r="148" spans="1:10" ht="13.5" customHeight="1">
      <c r="A148" s="71">
        <v>510</v>
      </c>
      <c r="B148" s="719" t="s">
        <v>1264</v>
      </c>
      <c r="C148" s="720"/>
      <c r="E148" s="71">
        <v>324</v>
      </c>
      <c r="F148" s="719" t="s">
        <v>277</v>
      </c>
      <c r="G148" s="720"/>
      <c r="I148" s="71">
        <v>497</v>
      </c>
      <c r="J148" s="72" t="s">
        <v>278</v>
      </c>
    </row>
    <row r="149" spans="1:10" ht="13.5" customHeight="1">
      <c r="A149" s="71">
        <v>144</v>
      </c>
      <c r="B149" s="719" t="s">
        <v>1120</v>
      </c>
      <c r="C149" s="720"/>
      <c r="E149" s="71">
        <v>325</v>
      </c>
      <c r="F149" s="719" t="s">
        <v>1121</v>
      </c>
      <c r="G149" s="720"/>
      <c r="I149" s="71">
        <v>498</v>
      </c>
      <c r="J149" s="72" t="s">
        <v>1122</v>
      </c>
    </row>
    <row r="150" spans="1:10" ht="13.5" customHeight="1">
      <c r="A150" s="71">
        <v>145</v>
      </c>
      <c r="B150" s="719" t="s">
        <v>1123</v>
      </c>
      <c r="C150" s="720"/>
      <c r="E150" s="71">
        <v>326</v>
      </c>
      <c r="F150" s="719" t="s">
        <v>1124</v>
      </c>
      <c r="G150" s="720"/>
      <c r="I150" s="71">
        <v>579</v>
      </c>
      <c r="J150" s="72" t="s">
        <v>1125</v>
      </c>
    </row>
    <row r="151" spans="1:10" ht="13.5" customHeight="1">
      <c r="A151" s="71">
        <v>146</v>
      </c>
      <c r="B151" s="719" t="s">
        <v>1126</v>
      </c>
      <c r="C151" s="720"/>
      <c r="E151" s="71">
        <v>327</v>
      </c>
      <c r="F151" s="719" t="s">
        <v>1127</v>
      </c>
      <c r="G151" s="720"/>
      <c r="I151" s="71">
        <v>499</v>
      </c>
      <c r="J151" s="72" t="s">
        <v>1128</v>
      </c>
    </row>
    <row r="152" spans="1:10" ht="13.5" customHeight="1">
      <c r="A152" s="71">
        <v>148</v>
      </c>
      <c r="B152" s="719" t="s">
        <v>1129</v>
      </c>
      <c r="C152" s="720"/>
      <c r="E152" s="71">
        <v>328</v>
      </c>
      <c r="F152" s="719" t="s">
        <v>1130</v>
      </c>
      <c r="G152" s="720"/>
      <c r="I152" s="71">
        <v>500</v>
      </c>
      <c r="J152" s="72" t="s">
        <v>1131</v>
      </c>
    </row>
    <row r="153" spans="1:10" ht="13.5" customHeight="1">
      <c r="A153" s="71">
        <v>149</v>
      </c>
      <c r="B153" s="719" t="s">
        <v>1422</v>
      </c>
      <c r="C153" s="720"/>
      <c r="E153" s="71">
        <v>329</v>
      </c>
      <c r="F153" s="719" t="s">
        <v>1423</v>
      </c>
      <c r="G153" s="720"/>
      <c r="I153" s="71">
        <v>502</v>
      </c>
      <c r="J153" s="72" t="s">
        <v>1424</v>
      </c>
    </row>
    <row r="154" spans="1:10" ht="13.5" customHeight="1">
      <c r="A154" s="71">
        <v>150</v>
      </c>
      <c r="B154" s="719" t="s">
        <v>1425</v>
      </c>
      <c r="C154" s="720"/>
      <c r="E154" s="71">
        <v>330</v>
      </c>
      <c r="F154" s="719" t="s">
        <v>1426</v>
      </c>
      <c r="G154" s="720"/>
      <c r="I154" s="71">
        <v>584</v>
      </c>
      <c r="J154" s="72" t="s">
        <v>1427</v>
      </c>
    </row>
    <row r="155" spans="1:10" ht="13.5" customHeight="1">
      <c r="A155" s="71">
        <v>152</v>
      </c>
      <c r="B155" s="719" t="s">
        <v>1428</v>
      </c>
      <c r="C155" s="720"/>
      <c r="E155" s="71">
        <v>581</v>
      </c>
      <c r="F155" s="719" t="s">
        <v>1429</v>
      </c>
      <c r="G155" s="720"/>
      <c r="I155" s="71">
        <v>503</v>
      </c>
      <c r="J155" s="72" t="s">
        <v>1430</v>
      </c>
    </row>
    <row r="156" spans="1:10" ht="13.5" customHeight="1">
      <c r="A156" s="71">
        <v>153</v>
      </c>
      <c r="B156" s="719" t="s">
        <v>1431</v>
      </c>
      <c r="C156" s="720"/>
      <c r="E156" s="71">
        <v>331</v>
      </c>
      <c r="F156" s="719" t="s">
        <v>1432</v>
      </c>
      <c r="G156" s="720"/>
      <c r="I156" s="71">
        <v>504</v>
      </c>
      <c r="J156" s="72" t="s">
        <v>1433</v>
      </c>
    </row>
    <row r="157" spans="1:10" ht="13.5" customHeight="1">
      <c r="A157" s="71">
        <v>154</v>
      </c>
      <c r="B157" s="719" t="s">
        <v>1434</v>
      </c>
      <c r="C157" s="720"/>
      <c r="E157" s="71">
        <v>332</v>
      </c>
      <c r="F157" s="719" t="s">
        <v>1435</v>
      </c>
      <c r="G157" s="720"/>
      <c r="I157" s="71">
        <v>505</v>
      </c>
      <c r="J157" s="72" t="s">
        <v>1756</v>
      </c>
    </row>
    <row r="158" spans="1:10" ht="13.5" customHeight="1">
      <c r="A158" s="71">
        <v>155</v>
      </c>
      <c r="B158" s="719" t="s">
        <v>1757</v>
      </c>
      <c r="C158" s="720"/>
      <c r="E158" s="71">
        <v>333</v>
      </c>
      <c r="F158" s="719" t="s">
        <v>1758</v>
      </c>
      <c r="G158" s="720"/>
      <c r="I158" s="71">
        <v>506</v>
      </c>
      <c r="J158" s="72" t="s">
        <v>1759</v>
      </c>
    </row>
    <row r="159" spans="1:10" ht="13.5" customHeight="1">
      <c r="A159" s="71">
        <v>156</v>
      </c>
      <c r="B159" s="719" t="s">
        <v>1760</v>
      </c>
      <c r="C159" s="720"/>
      <c r="E159" s="71">
        <v>334</v>
      </c>
      <c r="F159" s="719" t="s">
        <v>1761</v>
      </c>
      <c r="G159" s="720"/>
      <c r="I159" s="71">
        <v>507</v>
      </c>
      <c r="J159" s="72" t="s">
        <v>1762</v>
      </c>
    </row>
    <row r="160" spans="1:10" ht="13.5" customHeight="1">
      <c r="A160" s="71">
        <v>158</v>
      </c>
      <c r="B160" s="719" t="s">
        <v>1763</v>
      </c>
      <c r="C160" s="720"/>
      <c r="E160" s="71">
        <v>455</v>
      </c>
      <c r="F160" s="719" t="s">
        <v>1764</v>
      </c>
      <c r="G160" s="720"/>
      <c r="I160" s="71">
        <v>508</v>
      </c>
      <c r="J160" s="72" t="s">
        <v>1765</v>
      </c>
    </row>
    <row r="161" spans="1:10" ht="13.5" customHeight="1">
      <c r="A161" s="71">
        <v>159</v>
      </c>
      <c r="B161" s="719" t="s">
        <v>1766</v>
      </c>
      <c r="C161" s="720"/>
      <c r="E161" s="71">
        <v>335</v>
      </c>
      <c r="F161" s="719" t="s">
        <v>1767</v>
      </c>
      <c r="G161" s="720"/>
      <c r="I161" s="71">
        <v>509</v>
      </c>
      <c r="J161" s="72" t="s">
        <v>1768</v>
      </c>
    </row>
    <row r="162" spans="1:10" ht="13.5" customHeight="1">
      <c r="A162" s="71">
        <v>161</v>
      </c>
      <c r="B162" s="719" t="s">
        <v>1769</v>
      </c>
      <c r="C162" s="720"/>
      <c r="E162" s="71">
        <v>337</v>
      </c>
      <c r="F162" s="719" t="s">
        <v>1770</v>
      </c>
      <c r="G162" s="720"/>
      <c r="I162" s="71">
        <v>511</v>
      </c>
      <c r="J162" s="72" t="s">
        <v>1771</v>
      </c>
    </row>
    <row r="163" spans="1:10" ht="13.5" customHeight="1">
      <c r="A163" s="71">
        <v>609</v>
      </c>
      <c r="B163" s="719" t="s">
        <v>1772</v>
      </c>
      <c r="C163" s="720"/>
      <c r="E163" s="71">
        <v>338</v>
      </c>
      <c r="F163" s="719" t="s">
        <v>1773</v>
      </c>
      <c r="G163" s="720"/>
      <c r="I163" s="71">
        <v>512</v>
      </c>
      <c r="J163" s="72" t="s">
        <v>1774</v>
      </c>
    </row>
    <row r="164" spans="1:10" ht="13.5" customHeight="1">
      <c r="A164" s="71">
        <v>163</v>
      </c>
      <c r="B164" s="719" t="s">
        <v>1775</v>
      </c>
      <c r="C164" s="720"/>
      <c r="E164" s="71">
        <v>339</v>
      </c>
      <c r="F164" s="719" t="s">
        <v>1776</v>
      </c>
      <c r="G164" s="720"/>
      <c r="I164" s="71">
        <v>513</v>
      </c>
      <c r="J164" s="72" t="s">
        <v>1777</v>
      </c>
    </row>
    <row r="165" spans="1:10" ht="13.5" customHeight="1">
      <c r="A165" s="71">
        <v>164</v>
      </c>
      <c r="B165" s="719" t="s">
        <v>1778</v>
      </c>
      <c r="C165" s="720"/>
      <c r="E165" s="71">
        <v>340</v>
      </c>
      <c r="F165" s="719" t="s">
        <v>1779</v>
      </c>
      <c r="G165" s="720"/>
      <c r="I165" s="71">
        <v>514</v>
      </c>
      <c r="J165" s="72" t="s">
        <v>1780</v>
      </c>
    </row>
    <row r="166" spans="1:10" ht="13.5" customHeight="1">
      <c r="A166" s="71">
        <v>165</v>
      </c>
      <c r="B166" s="719" t="s">
        <v>1781</v>
      </c>
      <c r="C166" s="720"/>
      <c r="E166" s="71">
        <v>271</v>
      </c>
      <c r="F166" s="719" t="s">
        <v>1782</v>
      </c>
      <c r="G166" s="720"/>
      <c r="I166" s="71">
        <v>516</v>
      </c>
      <c r="J166" s="72" t="s">
        <v>1783</v>
      </c>
    </row>
    <row r="167" spans="1:10" ht="13.5" customHeight="1">
      <c r="A167" s="71">
        <v>599</v>
      </c>
      <c r="B167" s="719" t="s">
        <v>1784</v>
      </c>
      <c r="C167" s="720"/>
      <c r="E167" s="71">
        <v>616</v>
      </c>
      <c r="F167" s="719" t="s">
        <v>1785</v>
      </c>
      <c r="G167" s="720"/>
      <c r="I167" s="71">
        <v>625</v>
      </c>
      <c r="J167" s="72" t="s">
        <v>1786</v>
      </c>
    </row>
    <row r="168" spans="1:10" ht="13.5" customHeight="1">
      <c r="A168" s="71">
        <v>166</v>
      </c>
      <c r="B168" s="719" t="s">
        <v>1787</v>
      </c>
      <c r="C168" s="720"/>
      <c r="E168" s="71">
        <v>341</v>
      </c>
      <c r="F168" s="719" t="s">
        <v>1367</v>
      </c>
      <c r="G168" s="720"/>
      <c r="I168" s="71">
        <v>517</v>
      </c>
      <c r="J168" s="72" t="s">
        <v>1368</v>
      </c>
    </row>
    <row r="169" spans="1:10" ht="13.5" customHeight="1">
      <c r="A169" s="71">
        <v>167</v>
      </c>
      <c r="B169" s="719" t="s">
        <v>1369</v>
      </c>
      <c r="C169" s="720"/>
      <c r="E169" s="71">
        <v>342</v>
      </c>
      <c r="F169" s="719" t="s">
        <v>1370</v>
      </c>
      <c r="G169" s="720"/>
      <c r="I169" s="71">
        <v>518</v>
      </c>
      <c r="J169" s="72" t="s">
        <v>1371</v>
      </c>
    </row>
    <row r="170" spans="1:10" ht="13.5" customHeight="1">
      <c r="A170" s="71">
        <v>168</v>
      </c>
      <c r="B170" s="719" t="s">
        <v>1372</v>
      </c>
      <c r="C170" s="720"/>
      <c r="E170" s="71">
        <v>343</v>
      </c>
      <c r="F170" s="719" t="s">
        <v>1373</v>
      </c>
      <c r="G170" s="720"/>
      <c r="I170" s="71">
        <v>519</v>
      </c>
      <c r="J170" s="72" t="s">
        <v>1374</v>
      </c>
    </row>
    <row r="171" spans="1:10" ht="13.5" customHeight="1">
      <c r="A171" s="71">
        <v>169</v>
      </c>
      <c r="B171" s="719" t="s">
        <v>1375</v>
      </c>
      <c r="C171" s="720"/>
      <c r="E171" s="71">
        <v>544</v>
      </c>
      <c r="F171" s="719" t="s">
        <v>1376</v>
      </c>
      <c r="G171" s="720"/>
      <c r="I171" s="71">
        <v>520</v>
      </c>
      <c r="J171" s="72" t="s">
        <v>1377</v>
      </c>
    </row>
    <row r="172" spans="1:10" ht="13.5" customHeight="1">
      <c r="A172" s="71">
        <v>170</v>
      </c>
      <c r="B172" s="719" t="s">
        <v>1378</v>
      </c>
      <c r="C172" s="720"/>
      <c r="E172" s="71">
        <v>344</v>
      </c>
      <c r="F172" s="719" t="s">
        <v>1379</v>
      </c>
      <c r="G172" s="720"/>
      <c r="I172" s="71">
        <v>595</v>
      </c>
      <c r="J172" s="72" t="s">
        <v>1380</v>
      </c>
    </row>
    <row r="173" spans="1:10" ht="13.5" customHeight="1">
      <c r="A173" s="71">
        <v>171</v>
      </c>
      <c r="B173" s="719" t="s">
        <v>1381</v>
      </c>
      <c r="C173" s="720"/>
      <c r="E173" s="71">
        <v>345</v>
      </c>
      <c r="F173" s="719" t="s">
        <v>1382</v>
      </c>
      <c r="G173" s="720"/>
      <c r="I173" s="71">
        <v>521</v>
      </c>
      <c r="J173" s="72" t="s">
        <v>1383</v>
      </c>
    </row>
    <row r="174" spans="1:10" ht="13.5" customHeight="1">
      <c r="A174" s="71">
        <v>552</v>
      </c>
      <c r="B174" s="719" t="s">
        <v>1384</v>
      </c>
      <c r="C174" s="720"/>
      <c r="E174" s="71">
        <v>346</v>
      </c>
      <c r="F174" s="719" t="s">
        <v>1385</v>
      </c>
      <c r="G174" s="720"/>
      <c r="I174" s="71">
        <v>133</v>
      </c>
      <c r="J174" s="72" t="s">
        <v>1386</v>
      </c>
    </row>
    <row r="175" spans="1:10" ht="13.5" customHeight="1">
      <c r="A175" s="71">
        <v>172</v>
      </c>
      <c r="B175" s="719" t="s">
        <v>1387</v>
      </c>
      <c r="C175" s="720"/>
      <c r="E175" s="71">
        <v>347</v>
      </c>
      <c r="F175" s="719" t="s">
        <v>1388</v>
      </c>
      <c r="G175" s="720"/>
      <c r="I175" s="71">
        <v>522</v>
      </c>
      <c r="J175" s="72" t="s">
        <v>1389</v>
      </c>
    </row>
    <row r="176" spans="1:10" ht="13.5" customHeight="1">
      <c r="A176" s="71">
        <v>173</v>
      </c>
      <c r="B176" s="719" t="s">
        <v>1390</v>
      </c>
      <c r="C176" s="720"/>
      <c r="E176" s="71">
        <v>348</v>
      </c>
      <c r="F176" s="719" t="s">
        <v>1391</v>
      </c>
      <c r="G176" s="720"/>
      <c r="I176" s="71">
        <v>543</v>
      </c>
      <c r="J176" s="72" t="s">
        <v>1392</v>
      </c>
    </row>
    <row r="177" spans="1:10" ht="13.5" customHeight="1">
      <c r="A177" s="71">
        <v>559</v>
      </c>
      <c r="B177" s="719" t="s">
        <v>1393</v>
      </c>
      <c r="C177" s="720"/>
      <c r="E177" s="71">
        <v>349</v>
      </c>
      <c r="F177" s="719" t="s">
        <v>1394</v>
      </c>
      <c r="G177" s="720"/>
      <c r="I177" s="71">
        <v>523</v>
      </c>
      <c r="J177" s="72" t="s">
        <v>1395</v>
      </c>
    </row>
    <row r="178" spans="1:10" ht="13.5" customHeight="1">
      <c r="A178" s="71">
        <v>560</v>
      </c>
      <c r="B178" s="719" t="s">
        <v>1396</v>
      </c>
      <c r="C178" s="720"/>
      <c r="E178" s="71">
        <v>350</v>
      </c>
      <c r="F178" s="719" t="s">
        <v>1397</v>
      </c>
      <c r="G178" s="720"/>
      <c r="I178" s="71">
        <v>524</v>
      </c>
      <c r="J178" s="72" t="s">
        <v>1398</v>
      </c>
    </row>
    <row r="179" spans="1:10" ht="13.5" customHeight="1">
      <c r="A179" s="71">
        <v>623</v>
      </c>
      <c r="B179" s="719" t="s">
        <v>1399</v>
      </c>
      <c r="C179" s="720"/>
      <c r="E179" s="71">
        <v>573</v>
      </c>
      <c r="F179" s="719" t="s">
        <v>1400</v>
      </c>
      <c r="G179" s="720"/>
      <c r="I179" s="71">
        <v>525</v>
      </c>
      <c r="J179" s="72" t="s">
        <v>1401</v>
      </c>
    </row>
    <row r="180" spans="1:10" ht="13.5" customHeight="1">
      <c r="A180" s="71">
        <v>175</v>
      </c>
      <c r="B180" s="719" t="s">
        <v>1402</v>
      </c>
      <c r="C180" s="720"/>
      <c r="E180" s="71">
        <v>351</v>
      </c>
      <c r="F180" s="719" t="s">
        <v>1403</v>
      </c>
      <c r="G180" s="720"/>
      <c r="I180" s="71">
        <v>526</v>
      </c>
      <c r="J180" s="72" t="s">
        <v>1404</v>
      </c>
    </row>
    <row r="181" spans="1:10" ht="13.5" customHeight="1">
      <c r="A181" s="71">
        <v>176</v>
      </c>
      <c r="B181" s="719" t="s">
        <v>1405</v>
      </c>
      <c r="C181" s="720"/>
      <c r="E181" s="71">
        <v>352</v>
      </c>
      <c r="F181" s="719" t="s">
        <v>1406</v>
      </c>
      <c r="G181" s="720"/>
      <c r="I181" s="71">
        <v>527</v>
      </c>
      <c r="J181" s="72" t="s">
        <v>1407</v>
      </c>
    </row>
    <row r="182" spans="1:10" ht="13.5" customHeight="1">
      <c r="A182" s="71">
        <v>177</v>
      </c>
      <c r="B182" s="719" t="s">
        <v>1796</v>
      </c>
      <c r="C182" s="720"/>
      <c r="E182" s="71">
        <v>354</v>
      </c>
      <c r="F182" s="719" t="s">
        <v>1797</v>
      </c>
      <c r="G182" s="720"/>
      <c r="I182" s="71">
        <v>528</v>
      </c>
      <c r="J182" s="72" t="s">
        <v>1798</v>
      </c>
    </row>
    <row r="183" spans="1:10" ht="13.5" customHeight="1">
      <c r="A183" s="71">
        <v>178</v>
      </c>
      <c r="B183" s="719" t="s">
        <v>1799</v>
      </c>
      <c r="C183" s="720"/>
      <c r="E183" s="71">
        <v>355</v>
      </c>
      <c r="F183" s="719" t="s">
        <v>1800</v>
      </c>
      <c r="G183" s="720"/>
      <c r="I183" s="71">
        <v>566</v>
      </c>
      <c r="J183" s="72" t="s">
        <v>1972</v>
      </c>
    </row>
    <row r="184" spans="1:10" ht="13.5" customHeight="1">
      <c r="A184" s="71">
        <v>179</v>
      </c>
      <c r="B184" s="719" t="s">
        <v>1973</v>
      </c>
      <c r="C184" s="720"/>
      <c r="E184" s="71">
        <v>356</v>
      </c>
      <c r="F184" s="719" t="s">
        <v>1974</v>
      </c>
      <c r="G184" s="720"/>
      <c r="I184" s="71">
        <v>530</v>
      </c>
      <c r="J184" s="72" t="s">
        <v>1975</v>
      </c>
    </row>
    <row r="185" spans="1:10" ht="13.5" customHeight="1">
      <c r="A185" s="71">
        <v>596</v>
      </c>
      <c r="B185" s="719" t="s">
        <v>1976</v>
      </c>
      <c r="C185" s="720"/>
      <c r="E185" s="71">
        <v>589</v>
      </c>
      <c r="F185" s="719" t="s">
        <v>1977</v>
      </c>
      <c r="G185" s="720"/>
      <c r="I185" s="71">
        <v>531</v>
      </c>
      <c r="J185" s="72" t="s">
        <v>1978</v>
      </c>
    </row>
    <row r="186" spans="1:10" ht="13.5" customHeight="1">
      <c r="A186" s="71">
        <v>180</v>
      </c>
      <c r="B186" s="719" t="s">
        <v>668</v>
      </c>
      <c r="C186" s="720"/>
      <c r="E186" s="71">
        <v>620</v>
      </c>
      <c r="F186" s="719" t="s">
        <v>669</v>
      </c>
      <c r="G186" s="720"/>
      <c r="I186" s="71">
        <v>540</v>
      </c>
      <c r="J186" s="72" t="s">
        <v>670</v>
      </c>
    </row>
    <row r="187" spans="1:10" ht="13.5" customHeight="1">
      <c r="A187" s="71">
        <v>181</v>
      </c>
      <c r="B187" s="719" t="s">
        <v>671</v>
      </c>
      <c r="C187" s="720"/>
      <c r="E187" s="71">
        <v>590</v>
      </c>
      <c r="F187" s="719" t="s">
        <v>672</v>
      </c>
      <c r="G187" s="720"/>
      <c r="I187" s="71">
        <v>602</v>
      </c>
      <c r="J187" s="72" t="s">
        <v>673</v>
      </c>
    </row>
    <row r="188" spans="1:10" ht="13.5" customHeight="1">
      <c r="A188" s="71">
        <v>597</v>
      </c>
      <c r="B188" s="719" t="s">
        <v>674</v>
      </c>
      <c r="C188" s="720"/>
      <c r="E188" s="71">
        <v>357</v>
      </c>
      <c r="F188" s="719" t="s">
        <v>675</v>
      </c>
      <c r="G188" s="720"/>
      <c r="I188" s="71">
        <v>534</v>
      </c>
      <c r="J188" s="72" t="s">
        <v>676</v>
      </c>
    </row>
    <row r="189" spans="1:10" ht="13.5" customHeight="1">
      <c r="A189" s="71">
        <v>183</v>
      </c>
      <c r="B189" s="719" t="s">
        <v>677</v>
      </c>
      <c r="C189" s="720"/>
      <c r="E189" s="71">
        <v>583</v>
      </c>
      <c r="F189" s="719" t="s">
        <v>678</v>
      </c>
      <c r="G189" s="720"/>
      <c r="I189" s="16"/>
      <c r="J189" s="65"/>
    </row>
    <row r="190" spans="1:10" ht="13.5" customHeight="1">
      <c r="A190" s="73">
        <v>184</v>
      </c>
      <c r="B190" s="717" t="s">
        <v>679</v>
      </c>
      <c r="C190" s="718"/>
      <c r="E190" s="73">
        <v>574</v>
      </c>
      <c r="F190" s="717" t="s">
        <v>678</v>
      </c>
      <c r="G190" s="718"/>
      <c r="I190" s="17"/>
      <c r="J190" s="66"/>
    </row>
    <row r="191" ht="4.5" customHeight="1"/>
  </sheetData>
  <sheetProtection password="C79A" sheet="1" objects="1"/>
  <mergeCells count="376">
    <mergeCell ref="F125:G125"/>
    <mergeCell ref="F126:G126"/>
    <mergeCell ref="F127:G127"/>
    <mergeCell ref="F132:G132"/>
    <mergeCell ref="F128:G128"/>
    <mergeCell ref="F129:G129"/>
    <mergeCell ref="F130:G130"/>
    <mergeCell ref="F131:G131"/>
    <mergeCell ref="F119:G119"/>
    <mergeCell ref="F120:G120"/>
    <mergeCell ref="F121:G121"/>
    <mergeCell ref="F122:G122"/>
    <mergeCell ref="F123:G123"/>
    <mergeCell ref="F124:G124"/>
    <mergeCell ref="F113:G113"/>
    <mergeCell ref="F114:G114"/>
    <mergeCell ref="F115:G115"/>
    <mergeCell ref="F116:G116"/>
    <mergeCell ref="F117:G117"/>
    <mergeCell ref="F118:G118"/>
    <mergeCell ref="F107:G107"/>
    <mergeCell ref="F108:G108"/>
    <mergeCell ref="F109:G109"/>
    <mergeCell ref="F110:G110"/>
    <mergeCell ref="F111:G111"/>
    <mergeCell ref="F112:G112"/>
    <mergeCell ref="F101:G101"/>
    <mergeCell ref="F102:G102"/>
    <mergeCell ref="F103:G103"/>
    <mergeCell ref="F104:G104"/>
    <mergeCell ref="F105:G105"/>
    <mergeCell ref="F106:G106"/>
    <mergeCell ref="F95:G95"/>
    <mergeCell ref="F96:G96"/>
    <mergeCell ref="F97:G97"/>
    <mergeCell ref="F98:G98"/>
    <mergeCell ref="F99:G99"/>
    <mergeCell ref="F100:G100"/>
    <mergeCell ref="F89:G89"/>
    <mergeCell ref="F90:G90"/>
    <mergeCell ref="F91:G91"/>
    <mergeCell ref="F92:G92"/>
    <mergeCell ref="F93:G93"/>
    <mergeCell ref="F94:G94"/>
    <mergeCell ref="F83:G83"/>
    <mergeCell ref="F84:G84"/>
    <mergeCell ref="F85:G85"/>
    <mergeCell ref="F86:G86"/>
    <mergeCell ref="F87:G87"/>
    <mergeCell ref="F88:G88"/>
    <mergeCell ref="F77:G77"/>
    <mergeCell ref="F78:G78"/>
    <mergeCell ref="F79:G79"/>
    <mergeCell ref="F80:G80"/>
    <mergeCell ref="F81:G81"/>
    <mergeCell ref="F82:G82"/>
    <mergeCell ref="F71:G71"/>
    <mergeCell ref="F72:G72"/>
    <mergeCell ref="F73:G73"/>
    <mergeCell ref="F74:G74"/>
    <mergeCell ref="F75:G75"/>
    <mergeCell ref="F76:G76"/>
    <mergeCell ref="F65:G65"/>
    <mergeCell ref="F66:G66"/>
    <mergeCell ref="F67:G67"/>
    <mergeCell ref="F68:G68"/>
    <mergeCell ref="F69:G69"/>
    <mergeCell ref="F70:G70"/>
    <mergeCell ref="F59:G59"/>
    <mergeCell ref="F60:G60"/>
    <mergeCell ref="F61:G61"/>
    <mergeCell ref="F62:G62"/>
    <mergeCell ref="F63:G63"/>
    <mergeCell ref="F64:G64"/>
    <mergeCell ref="F53:G53"/>
    <mergeCell ref="F54:G54"/>
    <mergeCell ref="F55:G55"/>
    <mergeCell ref="F56:G56"/>
    <mergeCell ref="F57:G57"/>
    <mergeCell ref="F58:G58"/>
    <mergeCell ref="F47:G47"/>
    <mergeCell ref="F48:G48"/>
    <mergeCell ref="F49:G49"/>
    <mergeCell ref="F50:G50"/>
    <mergeCell ref="F51:G51"/>
    <mergeCell ref="F52:G52"/>
    <mergeCell ref="F41:G41"/>
    <mergeCell ref="F42:G42"/>
    <mergeCell ref="F43:G43"/>
    <mergeCell ref="F44:G44"/>
    <mergeCell ref="F45:G45"/>
    <mergeCell ref="F46:G46"/>
    <mergeCell ref="F35:G35"/>
    <mergeCell ref="F36:G36"/>
    <mergeCell ref="F37:G37"/>
    <mergeCell ref="F38:G38"/>
    <mergeCell ref="F39:G39"/>
    <mergeCell ref="F40:G40"/>
    <mergeCell ref="F29:G29"/>
    <mergeCell ref="F30:G30"/>
    <mergeCell ref="F31:G31"/>
    <mergeCell ref="F32:G32"/>
    <mergeCell ref="F33:G33"/>
    <mergeCell ref="F34:G34"/>
    <mergeCell ref="F23:G23"/>
    <mergeCell ref="F24:G24"/>
    <mergeCell ref="F25:G25"/>
    <mergeCell ref="F26:G26"/>
    <mergeCell ref="F27:G27"/>
    <mergeCell ref="F28:G28"/>
    <mergeCell ref="F17:G17"/>
    <mergeCell ref="F18:G18"/>
    <mergeCell ref="F19:G19"/>
    <mergeCell ref="F20:G20"/>
    <mergeCell ref="F21:G21"/>
    <mergeCell ref="F22:G22"/>
    <mergeCell ref="F11:G11"/>
    <mergeCell ref="F12:G12"/>
    <mergeCell ref="F13:G13"/>
    <mergeCell ref="F14:G14"/>
    <mergeCell ref="F15:G15"/>
    <mergeCell ref="F16:G16"/>
    <mergeCell ref="F186:G186"/>
    <mergeCell ref="F187:G187"/>
    <mergeCell ref="F188:G188"/>
    <mergeCell ref="F189:G189"/>
    <mergeCell ref="B4:C4"/>
    <mergeCell ref="F6:G6"/>
    <mergeCell ref="F7:G7"/>
    <mergeCell ref="F8:G8"/>
    <mergeCell ref="F9:G9"/>
    <mergeCell ref="F10:G10"/>
    <mergeCell ref="F180:G180"/>
    <mergeCell ref="F181:G181"/>
    <mergeCell ref="F182:G182"/>
    <mergeCell ref="F183:G183"/>
    <mergeCell ref="F184:G184"/>
    <mergeCell ref="F185:G185"/>
    <mergeCell ref="F174:G174"/>
    <mergeCell ref="F175:G175"/>
    <mergeCell ref="F176:G176"/>
    <mergeCell ref="F177:G177"/>
    <mergeCell ref="F178:G178"/>
    <mergeCell ref="F179:G179"/>
    <mergeCell ref="F168:G168"/>
    <mergeCell ref="F169:G169"/>
    <mergeCell ref="F170:G170"/>
    <mergeCell ref="F171:G171"/>
    <mergeCell ref="F172:G172"/>
    <mergeCell ref="F173:G173"/>
    <mergeCell ref="F162:G162"/>
    <mergeCell ref="F163:G163"/>
    <mergeCell ref="F164:G164"/>
    <mergeCell ref="F165:G165"/>
    <mergeCell ref="F166:G166"/>
    <mergeCell ref="F167:G167"/>
    <mergeCell ref="F151:G151"/>
    <mergeCell ref="F152:G152"/>
    <mergeCell ref="F153:G153"/>
    <mergeCell ref="F159:G159"/>
    <mergeCell ref="F160:G160"/>
    <mergeCell ref="F161:G161"/>
    <mergeCell ref="B187:C187"/>
    <mergeCell ref="B188:C188"/>
    <mergeCell ref="B189:C189"/>
    <mergeCell ref="B190:C190"/>
    <mergeCell ref="F145:G145"/>
    <mergeCell ref="F146:G146"/>
    <mergeCell ref="F147:G147"/>
    <mergeCell ref="F148:G148"/>
    <mergeCell ref="F149:G149"/>
    <mergeCell ref="F150:G150"/>
    <mergeCell ref="B181:C181"/>
    <mergeCell ref="B182:C182"/>
    <mergeCell ref="B183:C183"/>
    <mergeCell ref="B184:C184"/>
    <mergeCell ref="B185:C185"/>
    <mergeCell ref="B186:C186"/>
    <mergeCell ref="B175:C175"/>
    <mergeCell ref="B176:C176"/>
    <mergeCell ref="B177:C177"/>
    <mergeCell ref="B178:C178"/>
    <mergeCell ref="B179:C179"/>
    <mergeCell ref="B180:C180"/>
    <mergeCell ref="B169:C169"/>
    <mergeCell ref="B170:C170"/>
    <mergeCell ref="B171:C171"/>
    <mergeCell ref="B172:C172"/>
    <mergeCell ref="B173:C173"/>
    <mergeCell ref="B174:C174"/>
    <mergeCell ref="B163:C163"/>
    <mergeCell ref="B164:C164"/>
    <mergeCell ref="B165:C165"/>
    <mergeCell ref="B166:C166"/>
    <mergeCell ref="B167:C167"/>
    <mergeCell ref="B168:C168"/>
    <mergeCell ref="B157:C157"/>
    <mergeCell ref="B158:C158"/>
    <mergeCell ref="B159:C159"/>
    <mergeCell ref="B160:C160"/>
    <mergeCell ref="B161:C161"/>
    <mergeCell ref="B162:C162"/>
    <mergeCell ref="B151:C151"/>
    <mergeCell ref="B152:C152"/>
    <mergeCell ref="B153:C153"/>
    <mergeCell ref="B154:C154"/>
    <mergeCell ref="B155:C155"/>
    <mergeCell ref="B156:C156"/>
    <mergeCell ref="B145:C145"/>
    <mergeCell ref="B146:C146"/>
    <mergeCell ref="B147:C147"/>
    <mergeCell ref="B148:C148"/>
    <mergeCell ref="B149:C149"/>
    <mergeCell ref="B150:C150"/>
    <mergeCell ref="B139:C139"/>
    <mergeCell ref="B140:C140"/>
    <mergeCell ref="B141:C141"/>
    <mergeCell ref="B142:C142"/>
    <mergeCell ref="B143:C143"/>
    <mergeCell ref="B144:C144"/>
    <mergeCell ref="B133:C133"/>
    <mergeCell ref="B134:C134"/>
    <mergeCell ref="B135:C135"/>
    <mergeCell ref="B136:C136"/>
    <mergeCell ref="B137:C137"/>
    <mergeCell ref="B138:C138"/>
    <mergeCell ref="B127:C127"/>
    <mergeCell ref="B128:C128"/>
    <mergeCell ref="B129:C129"/>
    <mergeCell ref="B130:C130"/>
    <mergeCell ref="B131:C131"/>
    <mergeCell ref="B132:C132"/>
    <mergeCell ref="B121:C121"/>
    <mergeCell ref="B122:C122"/>
    <mergeCell ref="B123:C123"/>
    <mergeCell ref="B124:C124"/>
    <mergeCell ref="B125:C125"/>
    <mergeCell ref="B126:C126"/>
    <mergeCell ref="B115:C115"/>
    <mergeCell ref="B116:C116"/>
    <mergeCell ref="B117:C117"/>
    <mergeCell ref="B118:C118"/>
    <mergeCell ref="B119:C119"/>
    <mergeCell ref="B120:C120"/>
    <mergeCell ref="B109:C109"/>
    <mergeCell ref="B110:C110"/>
    <mergeCell ref="B111:C111"/>
    <mergeCell ref="B112:C112"/>
    <mergeCell ref="B113:C113"/>
    <mergeCell ref="B114:C114"/>
    <mergeCell ref="B103:C103"/>
    <mergeCell ref="B104:C104"/>
    <mergeCell ref="B105:C105"/>
    <mergeCell ref="B106:C106"/>
    <mergeCell ref="B107:C107"/>
    <mergeCell ref="B108:C108"/>
    <mergeCell ref="B97:C97"/>
    <mergeCell ref="B98:C98"/>
    <mergeCell ref="B99:C99"/>
    <mergeCell ref="B100:C100"/>
    <mergeCell ref="B101:C101"/>
    <mergeCell ref="B102:C102"/>
    <mergeCell ref="B91:C91"/>
    <mergeCell ref="B92:C92"/>
    <mergeCell ref="B93:C93"/>
    <mergeCell ref="B94:C94"/>
    <mergeCell ref="B95:C95"/>
    <mergeCell ref="B96:C96"/>
    <mergeCell ref="B85:C85"/>
    <mergeCell ref="B86:C86"/>
    <mergeCell ref="B87:C87"/>
    <mergeCell ref="B88:C88"/>
    <mergeCell ref="B89:C89"/>
    <mergeCell ref="B90:C90"/>
    <mergeCell ref="B79:C79"/>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61:C61"/>
    <mergeCell ref="B62:C62"/>
    <mergeCell ref="B63:C63"/>
    <mergeCell ref="B64:C64"/>
    <mergeCell ref="B65:C65"/>
    <mergeCell ref="B66:C66"/>
    <mergeCell ref="B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B46:C46"/>
    <mergeCell ref="B47:C47"/>
    <mergeCell ref="B48:C48"/>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B2"/>
    <mergeCell ref="A3:J3"/>
    <mergeCell ref="F4:G4"/>
    <mergeCell ref="F5:G5"/>
    <mergeCell ref="B5:C5"/>
    <mergeCell ref="B6:C6"/>
    <mergeCell ref="F137:G137"/>
    <mergeCell ref="F138:G138"/>
    <mergeCell ref="F139:G139"/>
    <mergeCell ref="F140:G140"/>
    <mergeCell ref="F133:G133"/>
    <mergeCell ref="F134:G134"/>
    <mergeCell ref="F135:G135"/>
    <mergeCell ref="F136:G136"/>
    <mergeCell ref="F190:G190"/>
    <mergeCell ref="F141:G141"/>
    <mergeCell ref="F142:G142"/>
    <mergeCell ref="F143:G143"/>
    <mergeCell ref="F144:G144"/>
    <mergeCell ref="F154:G154"/>
    <mergeCell ref="F155:G155"/>
    <mergeCell ref="F156:G156"/>
    <mergeCell ref="F157:G157"/>
    <mergeCell ref="F158:G158"/>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15.xml><?xml version="1.0" encoding="utf-8"?>
<worksheet xmlns="http://schemas.openxmlformats.org/spreadsheetml/2006/main" xmlns:r="http://schemas.openxmlformats.org/officeDocument/2006/relationships">
  <sheetPr>
    <pageSetUpPr fitToPage="1"/>
  </sheetPr>
  <dimension ref="A1:J23"/>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320" t="s">
        <v>1801</v>
      </c>
      <c r="B1" s="321"/>
      <c r="C1" s="88" t="s">
        <v>396</v>
      </c>
      <c r="D1" s="85" t="s">
        <v>1802</v>
      </c>
      <c r="E1" s="85" t="s">
        <v>305</v>
      </c>
      <c r="F1" s="106" t="s">
        <v>1792</v>
      </c>
      <c r="G1" s="85" t="s">
        <v>397</v>
      </c>
      <c r="H1" s="106" t="s">
        <v>398</v>
      </c>
      <c r="I1" s="85" t="s">
        <v>306</v>
      </c>
      <c r="J1" s="86" t="s">
        <v>399</v>
      </c>
    </row>
    <row r="2" spans="1:10" s="3" customFormat="1" ht="19.5" customHeight="1">
      <c r="A2" s="322"/>
      <c r="B2" s="323"/>
      <c r="C2" s="89" t="s">
        <v>1803</v>
      </c>
      <c r="D2" s="90" t="s">
        <v>308</v>
      </c>
      <c r="E2" s="90" t="s">
        <v>1804</v>
      </c>
      <c r="F2" s="90" t="s">
        <v>307</v>
      </c>
      <c r="G2" s="90" t="s">
        <v>401</v>
      </c>
      <c r="H2" s="91" t="s">
        <v>402</v>
      </c>
      <c r="I2" s="87"/>
      <c r="J2" s="87"/>
    </row>
    <row r="3" spans="1:10" ht="33" customHeight="1">
      <c r="A3" s="735" t="s">
        <v>400</v>
      </c>
      <c r="B3" s="736"/>
      <c r="C3" s="736"/>
      <c r="D3" s="736"/>
      <c r="E3" s="736"/>
      <c r="F3" s="736"/>
      <c r="G3" s="736"/>
      <c r="H3" s="736"/>
      <c r="I3" s="736"/>
      <c r="J3" s="737"/>
    </row>
    <row r="4" spans="1:10" ht="18.75" customHeight="1">
      <c r="A4" s="119" t="s">
        <v>1416</v>
      </c>
      <c r="B4" s="738" t="s">
        <v>1417</v>
      </c>
      <c r="C4" s="739"/>
      <c r="D4" s="739"/>
      <c r="E4" s="739"/>
      <c r="F4" s="739"/>
      <c r="G4" s="739"/>
      <c r="H4" s="739"/>
      <c r="I4" s="739"/>
      <c r="J4" s="740"/>
    </row>
    <row r="5" spans="1:10" ht="18.75" customHeight="1">
      <c r="A5" s="92" t="s">
        <v>403</v>
      </c>
      <c r="B5" s="732" t="s">
        <v>404</v>
      </c>
      <c r="C5" s="733"/>
      <c r="D5" s="733"/>
      <c r="E5" s="733"/>
      <c r="F5" s="733"/>
      <c r="G5" s="733"/>
      <c r="H5" s="733"/>
      <c r="I5" s="733"/>
      <c r="J5" s="734"/>
    </row>
    <row r="6" spans="1:10" ht="18.75" customHeight="1">
      <c r="A6" s="92" t="s">
        <v>2186</v>
      </c>
      <c r="B6" s="732" t="s">
        <v>2185</v>
      </c>
      <c r="C6" s="733"/>
      <c r="D6" s="733"/>
      <c r="E6" s="733"/>
      <c r="F6" s="733"/>
      <c r="G6" s="733"/>
      <c r="H6" s="733"/>
      <c r="I6" s="733"/>
      <c r="J6" s="734"/>
    </row>
    <row r="7" spans="1:10" ht="44.25" customHeight="1">
      <c r="A7" s="92" t="s">
        <v>2186</v>
      </c>
      <c r="B7" s="729" t="s">
        <v>2187</v>
      </c>
      <c r="C7" s="730"/>
      <c r="D7" s="730"/>
      <c r="E7" s="730"/>
      <c r="F7" s="730"/>
      <c r="G7" s="730"/>
      <c r="H7" s="730"/>
      <c r="I7" s="730"/>
      <c r="J7" s="731"/>
    </row>
    <row r="8" spans="1:10" ht="36" customHeight="1">
      <c r="A8" s="92" t="s">
        <v>1303</v>
      </c>
      <c r="B8" s="729" t="s">
        <v>1304</v>
      </c>
      <c r="C8" s="730"/>
      <c r="D8" s="730"/>
      <c r="E8" s="730"/>
      <c r="F8" s="730"/>
      <c r="G8" s="730"/>
      <c r="H8" s="730"/>
      <c r="I8" s="730"/>
      <c r="J8" s="731"/>
    </row>
    <row r="9" spans="1:10" ht="36" customHeight="1">
      <c r="A9" s="92" t="s">
        <v>1521</v>
      </c>
      <c r="B9" s="729" t="s">
        <v>1520</v>
      </c>
      <c r="C9" s="730"/>
      <c r="D9" s="730"/>
      <c r="E9" s="730"/>
      <c r="F9" s="730"/>
      <c r="G9" s="730"/>
      <c r="H9" s="730"/>
      <c r="I9" s="730"/>
      <c r="J9" s="731"/>
    </row>
    <row r="10" spans="1:10" ht="36" customHeight="1">
      <c r="A10" s="92" t="s">
        <v>339</v>
      </c>
      <c r="B10" s="729" t="s">
        <v>338</v>
      </c>
      <c r="C10" s="730"/>
      <c r="D10" s="730"/>
      <c r="E10" s="730"/>
      <c r="F10" s="730"/>
      <c r="G10" s="730"/>
      <c r="H10" s="730"/>
      <c r="I10" s="730"/>
      <c r="J10" s="731"/>
    </row>
    <row r="11" spans="1:10" ht="36" customHeight="1">
      <c r="A11" s="92" t="s">
        <v>1706</v>
      </c>
      <c r="B11" s="729" t="s">
        <v>1707</v>
      </c>
      <c r="C11" s="730"/>
      <c r="D11" s="730"/>
      <c r="E11" s="730"/>
      <c r="F11" s="730"/>
      <c r="G11" s="730"/>
      <c r="H11" s="730"/>
      <c r="I11" s="730"/>
      <c r="J11" s="731"/>
    </row>
    <row r="12" spans="1:10" ht="36" customHeight="1">
      <c r="A12" s="92" t="s">
        <v>2189</v>
      </c>
      <c r="B12" s="729" t="s">
        <v>2188</v>
      </c>
      <c r="C12" s="730"/>
      <c r="D12" s="730"/>
      <c r="E12" s="730"/>
      <c r="F12" s="730"/>
      <c r="G12" s="730"/>
      <c r="H12" s="730"/>
      <c r="I12" s="730"/>
      <c r="J12" s="731"/>
    </row>
    <row r="13" spans="1:10" ht="12.75">
      <c r="A13" s="19"/>
      <c r="B13" s="20"/>
      <c r="C13" s="20"/>
      <c r="D13" s="20"/>
      <c r="E13" s="20"/>
      <c r="F13" s="20"/>
      <c r="G13" s="20"/>
      <c r="H13" s="20"/>
      <c r="I13" s="20"/>
      <c r="J13" s="21"/>
    </row>
    <row r="14" spans="1:10" ht="12.75">
      <c r="A14" s="19"/>
      <c r="B14" s="20"/>
      <c r="C14" s="20"/>
      <c r="D14" s="20"/>
      <c r="E14" s="20"/>
      <c r="F14" s="20"/>
      <c r="G14" s="20"/>
      <c r="H14" s="20"/>
      <c r="I14" s="20"/>
      <c r="J14" s="21"/>
    </row>
    <row r="15" spans="1:10" ht="12.75">
      <c r="A15" s="19"/>
      <c r="B15" s="20"/>
      <c r="C15" s="20"/>
      <c r="D15" s="20"/>
      <c r="E15" s="20"/>
      <c r="F15" s="20"/>
      <c r="G15" s="20"/>
      <c r="H15" s="20"/>
      <c r="I15" s="20"/>
      <c r="J15" s="21"/>
    </row>
    <row r="16" spans="1:10" ht="12.75">
      <c r="A16" s="19"/>
      <c r="B16" s="20"/>
      <c r="C16" s="20"/>
      <c r="D16" s="20"/>
      <c r="E16" s="20"/>
      <c r="F16" s="20"/>
      <c r="G16" s="20"/>
      <c r="H16" s="20"/>
      <c r="I16" s="20"/>
      <c r="J16" s="21"/>
    </row>
    <row r="17" spans="1:10" ht="12.75">
      <c r="A17" s="19"/>
      <c r="B17" s="20"/>
      <c r="C17" s="20"/>
      <c r="D17" s="20"/>
      <c r="E17" s="20"/>
      <c r="F17" s="20"/>
      <c r="G17" s="20"/>
      <c r="H17" s="20"/>
      <c r="I17" s="20"/>
      <c r="J17" s="21"/>
    </row>
    <row r="18" spans="1:10" ht="12.75">
      <c r="A18" s="19"/>
      <c r="B18" s="20"/>
      <c r="C18" s="20"/>
      <c r="D18" s="20"/>
      <c r="E18" s="20"/>
      <c r="F18" s="20"/>
      <c r="G18" s="20"/>
      <c r="H18" s="20"/>
      <c r="I18" s="20"/>
      <c r="J18" s="21"/>
    </row>
    <row r="19" spans="1:10" ht="12.75">
      <c r="A19" s="19"/>
      <c r="B19" s="20"/>
      <c r="C19" s="20"/>
      <c r="D19" s="20"/>
      <c r="E19" s="20"/>
      <c r="F19" s="20"/>
      <c r="G19" s="20"/>
      <c r="H19" s="20"/>
      <c r="I19" s="20"/>
      <c r="J19" s="21"/>
    </row>
    <row r="20" spans="1:10" ht="12.75">
      <c r="A20" s="19"/>
      <c r="B20" s="20"/>
      <c r="C20" s="20"/>
      <c r="D20" s="20"/>
      <c r="E20" s="20"/>
      <c r="F20" s="20"/>
      <c r="G20" s="20"/>
      <c r="H20" s="20"/>
      <c r="I20" s="20"/>
      <c r="J20" s="21"/>
    </row>
    <row r="21" spans="1:10" ht="12.75">
      <c r="A21" s="19"/>
      <c r="B21" s="20"/>
      <c r="C21" s="20"/>
      <c r="D21" s="20"/>
      <c r="E21" s="20"/>
      <c r="F21" s="20"/>
      <c r="G21" s="20"/>
      <c r="H21" s="20"/>
      <c r="I21" s="20"/>
      <c r="J21" s="21"/>
    </row>
    <row r="22" spans="1:10" ht="12.75">
      <c r="A22" s="19"/>
      <c r="B22" s="20"/>
      <c r="C22" s="20"/>
      <c r="D22" s="20"/>
      <c r="E22" s="20"/>
      <c r="F22" s="20"/>
      <c r="G22" s="20"/>
      <c r="H22" s="20"/>
      <c r="I22" s="20"/>
      <c r="J22" s="21"/>
    </row>
    <row r="23" spans="1:10" ht="12.75">
      <c r="A23" s="22"/>
      <c r="B23" s="23"/>
      <c r="C23" s="23"/>
      <c r="D23" s="23"/>
      <c r="E23" s="23"/>
      <c r="F23" s="23"/>
      <c r="G23" s="23"/>
      <c r="H23" s="23"/>
      <c r="I23" s="23"/>
      <c r="J23" s="24"/>
    </row>
    <row r="24" ht="4.5" customHeight="1"/>
  </sheetData>
  <sheetProtection password="C79A" sheet="1" objects="1"/>
  <mergeCells count="11">
    <mergeCell ref="A1:B2"/>
    <mergeCell ref="A3:J3"/>
    <mergeCell ref="B4:J4"/>
    <mergeCell ref="B5:J5"/>
    <mergeCell ref="B9:J9"/>
    <mergeCell ref="B8:J8"/>
    <mergeCell ref="B6:J6"/>
    <mergeCell ref="B7:J7"/>
    <mergeCell ref="B12:J12"/>
    <mergeCell ref="B11:J11"/>
    <mergeCell ref="B10:J10"/>
  </mergeCell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P41"/>
  <sheetViews>
    <sheetView showGridLines="0" showRowColHeaders="0" zoomScalePageLayoutView="0" workbookViewId="0" topLeftCell="A1">
      <pane ySplit="3" topLeftCell="A4" activePane="bottomLeft" state="frozen"/>
      <selection pane="topLeft" activeCell="A1" sqref="A1"/>
      <selection pane="bottomLeft" activeCell="E18" sqref="E18"/>
    </sheetView>
  </sheetViews>
  <sheetFormatPr defaultColWidth="0" defaultRowHeight="12.75" zeroHeight="1"/>
  <cols>
    <col min="1" max="1" width="6.7109375" style="0" customWidth="1"/>
    <col min="2" max="2" width="10.7109375" style="0" customWidth="1"/>
    <col min="3" max="3" width="9.8515625" style="0" customWidth="1"/>
    <col min="4" max="4" width="9.7109375" style="0" customWidth="1"/>
    <col min="5" max="5" width="8.00390625" style="0" customWidth="1"/>
    <col min="6" max="6" width="9.00390625" style="0" customWidth="1"/>
    <col min="7" max="10" width="10.7109375" style="0" customWidth="1"/>
    <col min="11" max="11" width="0.85546875" style="0" customWidth="1"/>
    <col min="12" max="16384" width="0" style="0" hidden="1" customWidth="1"/>
  </cols>
  <sheetData>
    <row r="1" spans="1:10" ht="19.5" customHeight="1">
      <c r="A1" s="320" t="s">
        <v>1801</v>
      </c>
      <c r="B1" s="321"/>
      <c r="C1" s="88" t="s">
        <v>396</v>
      </c>
      <c r="D1" s="85" t="s">
        <v>1802</v>
      </c>
      <c r="E1" s="85" t="s">
        <v>305</v>
      </c>
      <c r="F1" s="106" t="s">
        <v>1792</v>
      </c>
      <c r="G1" s="85" t="s">
        <v>397</v>
      </c>
      <c r="H1" s="106" t="s">
        <v>398</v>
      </c>
      <c r="I1" s="85" t="s">
        <v>306</v>
      </c>
      <c r="J1" s="86" t="s">
        <v>399</v>
      </c>
    </row>
    <row r="2" spans="1:10" ht="19.5" customHeight="1">
      <c r="A2" s="322"/>
      <c r="B2" s="323"/>
      <c r="C2" s="89" t="s">
        <v>1803</v>
      </c>
      <c r="D2" s="90" t="s">
        <v>308</v>
      </c>
      <c r="E2" s="90" t="s">
        <v>1804</v>
      </c>
      <c r="F2" s="90" t="s">
        <v>307</v>
      </c>
      <c r="G2" s="90" t="s">
        <v>401</v>
      </c>
      <c r="H2" s="91" t="s">
        <v>402</v>
      </c>
      <c r="I2" s="87"/>
      <c r="J2" s="87"/>
    </row>
    <row r="3" spans="1:10" ht="21" customHeight="1">
      <c r="A3" s="324" t="s">
        <v>2217</v>
      </c>
      <c r="B3" s="325"/>
      <c r="C3" s="325"/>
      <c r="D3" s="325"/>
      <c r="E3" s="325"/>
      <c r="F3" s="325"/>
      <c r="G3" s="325"/>
      <c r="H3" s="325"/>
      <c r="I3" s="325"/>
      <c r="J3" s="326"/>
    </row>
    <row r="4" spans="1:10" ht="7.5" customHeight="1">
      <c r="A4" s="272"/>
      <c r="B4" s="162"/>
      <c r="C4" s="162"/>
      <c r="D4" s="162"/>
      <c r="E4" s="162"/>
      <c r="F4" s="162"/>
      <c r="G4" s="162"/>
      <c r="H4" s="162"/>
      <c r="I4" s="162"/>
      <c r="J4" s="273"/>
    </row>
    <row r="5" spans="1:10" ht="81.75" customHeight="1">
      <c r="A5" s="327" t="s">
        <v>2218</v>
      </c>
      <c r="B5" s="327"/>
      <c r="C5" s="327"/>
      <c r="D5" s="327"/>
      <c r="E5" s="327"/>
      <c r="F5" s="327"/>
      <c r="G5" s="327"/>
      <c r="H5" s="327"/>
      <c r="I5" s="327"/>
      <c r="J5" s="328"/>
    </row>
    <row r="6" spans="1:10" ht="33.75" customHeight="1">
      <c r="A6" s="329" t="s">
        <v>2219</v>
      </c>
      <c r="B6" s="330"/>
      <c r="C6" s="330"/>
      <c r="D6" s="330"/>
      <c r="E6" s="330"/>
      <c r="F6" s="330"/>
      <c r="G6" s="330"/>
      <c r="H6" s="330"/>
      <c r="I6" s="330"/>
      <c r="J6" s="331"/>
    </row>
    <row r="7" spans="1:10" ht="26.25" customHeight="1">
      <c r="A7" s="308" t="s">
        <v>477</v>
      </c>
      <c r="B7" s="309"/>
      <c r="C7" s="309"/>
      <c r="D7" s="309"/>
      <c r="E7" s="309"/>
      <c r="F7" s="309"/>
      <c r="G7" s="309"/>
      <c r="H7" s="309"/>
      <c r="I7" s="309"/>
      <c r="J7" s="310"/>
    </row>
    <row r="8" spans="1:10" ht="43.5" customHeight="1">
      <c r="A8" s="311" t="s">
        <v>476</v>
      </c>
      <c r="B8" s="312"/>
      <c r="C8" s="312"/>
      <c r="D8" s="312"/>
      <c r="E8" s="312"/>
      <c r="F8" s="312"/>
      <c r="G8" s="312"/>
      <c r="H8" s="312"/>
      <c r="I8" s="312"/>
      <c r="J8" s="313"/>
    </row>
    <row r="9" spans="1:10" ht="16.5" customHeight="1">
      <c r="A9" s="311" t="s">
        <v>2220</v>
      </c>
      <c r="B9" s="312"/>
      <c r="C9" s="312"/>
      <c r="D9" s="312"/>
      <c r="E9" s="312"/>
      <c r="F9" s="312"/>
      <c r="G9" s="312"/>
      <c r="H9" s="312"/>
      <c r="I9" s="312"/>
      <c r="J9" s="313"/>
    </row>
    <row r="10" spans="1:10" ht="4.5" customHeight="1">
      <c r="A10" s="84"/>
      <c r="B10" s="84"/>
      <c r="C10" s="84"/>
      <c r="D10" s="84"/>
      <c r="E10" s="84"/>
      <c r="F10" s="84"/>
      <c r="G10" s="84"/>
      <c r="H10" s="84"/>
      <c r="I10" s="314" t="s">
        <v>2221</v>
      </c>
      <c r="J10" s="316" t="s">
        <v>2222</v>
      </c>
    </row>
    <row r="11" spans="1:10" ht="27.75" customHeight="1">
      <c r="A11" s="318" t="s">
        <v>2223</v>
      </c>
      <c r="B11" s="319"/>
      <c r="C11" s="319"/>
      <c r="D11" s="319"/>
      <c r="E11" s="319"/>
      <c r="F11" s="319"/>
      <c r="G11" s="319"/>
      <c r="H11" s="319"/>
      <c r="I11" s="315"/>
      <c r="J11" s="317"/>
    </row>
    <row r="12" spans="1:10" ht="30" customHeight="1">
      <c r="A12" s="274" t="s">
        <v>215</v>
      </c>
      <c r="B12" s="332" t="s">
        <v>2224</v>
      </c>
      <c r="C12" s="333"/>
      <c r="D12" s="333"/>
      <c r="E12" s="333"/>
      <c r="F12" s="333"/>
      <c r="G12" s="333"/>
      <c r="H12" s="334"/>
      <c r="I12" s="275">
        <v>160</v>
      </c>
      <c r="J12" s="276">
        <v>190</v>
      </c>
    </row>
    <row r="13" spans="1:16" ht="30" customHeight="1">
      <c r="A13" s="277" t="s">
        <v>216</v>
      </c>
      <c r="B13" s="335" t="s">
        <v>2225</v>
      </c>
      <c r="C13" s="336"/>
      <c r="D13" s="336"/>
      <c r="E13" s="336"/>
      <c r="F13" s="336"/>
      <c r="G13" s="336"/>
      <c r="H13" s="337"/>
      <c r="I13" s="278">
        <v>230</v>
      </c>
      <c r="J13" s="279">
        <v>290</v>
      </c>
      <c r="N13">
        <f>IF(Opci!C45=1,0,1)</f>
        <v>1</v>
      </c>
      <c r="O13">
        <f>IF(C18=1,160,IF(C18=2,230,IF(C18=3,290,0)))</f>
        <v>160</v>
      </c>
      <c r="P13">
        <f>IF(C18=1,190,IF(C18=2,290,IF(C18=3,350,0)))</f>
        <v>190</v>
      </c>
    </row>
    <row r="14" spans="1:14" ht="30" customHeight="1">
      <c r="A14" s="280" t="s">
        <v>217</v>
      </c>
      <c r="B14" s="302" t="s">
        <v>2226</v>
      </c>
      <c r="C14" s="303"/>
      <c r="D14" s="303"/>
      <c r="E14" s="303"/>
      <c r="F14" s="303"/>
      <c r="G14" s="303"/>
      <c r="H14" s="304"/>
      <c r="I14" s="281">
        <v>290</v>
      </c>
      <c r="J14" s="282">
        <v>350</v>
      </c>
      <c r="N14">
        <f>IF(Opci!C43="DA",Novosti!P13*N13,Novosti!O13*N13)</f>
        <v>190</v>
      </c>
    </row>
    <row r="15" spans="1:10" ht="4.5" customHeight="1">
      <c r="A15" s="155"/>
      <c r="B15" s="34"/>
      <c r="C15" s="34"/>
      <c r="D15" s="34"/>
      <c r="E15" s="34"/>
      <c r="F15" s="34"/>
      <c r="G15" s="34"/>
      <c r="H15" s="84"/>
      <c r="I15" s="84"/>
      <c r="J15" s="283"/>
    </row>
    <row r="16" spans="1:14" ht="45" customHeight="1">
      <c r="A16" s="305" t="s">
        <v>2227</v>
      </c>
      <c r="B16" s="306"/>
      <c r="C16" s="306"/>
      <c r="D16" s="306"/>
      <c r="E16" s="306"/>
      <c r="F16" s="306"/>
      <c r="G16" s="306"/>
      <c r="H16" s="306"/>
      <c r="I16" s="306"/>
      <c r="J16" s="307"/>
      <c r="N16" s="284" t="str">
        <f>TEXT(N14,"##0,00")</f>
        <v>190,00</v>
      </c>
    </row>
    <row r="17" spans="2:10" ht="4.5" customHeight="1">
      <c r="B17" s="20"/>
      <c r="C17" s="20"/>
      <c r="D17" s="20"/>
      <c r="E17" s="20"/>
      <c r="F17" s="20"/>
      <c r="G17" s="20"/>
      <c r="J17" s="21"/>
    </row>
    <row r="18" spans="1:10" ht="19.5" customHeight="1">
      <c r="A18" s="297" t="s">
        <v>2228</v>
      </c>
      <c r="B18" s="298"/>
      <c r="C18" s="285">
        <v>1</v>
      </c>
      <c r="D18" s="20"/>
      <c r="E18" s="20"/>
      <c r="F18" s="20"/>
      <c r="G18" s="20"/>
      <c r="J18" s="21"/>
    </row>
    <row r="19" spans="1:10" ht="12.75">
      <c r="A19" s="19"/>
      <c r="B19" s="20"/>
      <c r="C19" s="20"/>
      <c r="D19" s="20"/>
      <c r="E19" s="20"/>
      <c r="F19" s="20"/>
      <c r="G19" s="20"/>
      <c r="H19" s="20"/>
      <c r="I19" s="20"/>
      <c r="J19" s="21"/>
    </row>
    <row r="20" spans="2:10" ht="12.75">
      <c r="B20" s="20"/>
      <c r="C20" s="20"/>
      <c r="D20" s="20"/>
      <c r="E20" s="20"/>
      <c r="F20" s="20"/>
      <c r="G20" s="20"/>
      <c r="H20" s="20"/>
      <c r="I20" s="20"/>
      <c r="J20" s="21"/>
    </row>
    <row r="21" spans="1:10" ht="12.75">
      <c r="A21" s="19"/>
      <c r="B21" s="20"/>
      <c r="C21" s="20"/>
      <c r="D21" s="20"/>
      <c r="E21" s="20"/>
      <c r="F21" s="20"/>
      <c r="G21" s="20"/>
      <c r="I21" s="299" t="str">
        <f>"= "&amp;MID(N16,1,1)&amp;" "&amp;MID(N16,2,1)&amp;" "&amp;MID(N16,3,1)&amp;" "&amp;MID(N16,4,1)&amp;" "&amp;MID(N16,5,1)&amp;" "&amp;MID(N16,6,1)&amp;" "</f>
        <v>= 1 9 0 , 0 0 </v>
      </c>
      <c r="J21" s="300"/>
    </row>
    <row r="22" spans="1:10" ht="12.75">
      <c r="A22" s="104"/>
      <c r="B22" s="20"/>
      <c r="C22" s="20"/>
      <c r="D22" s="20"/>
      <c r="E22" s="20"/>
      <c r="F22" s="20"/>
      <c r="G22" s="20"/>
      <c r="I22" s="301"/>
      <c r="J22" s="300"/>
    </row>
    <row r="23" spans="1:10" ht="12.75">
      <c r="A23" s="19"/>
      <c r="B23" s="20"/>
      <c r="C23" s="20"/>
      <c r="D23" s="20"/>
      <c r="E23" s="20"/>
      <c r="F23" s="20"/>
      <c r="G23" s="20"/>
      <c r="H23" s="20"/>
      <c r="I23" s="20"/>
      <c r="J23" s="21"/>
    </row>
    <row r="24" spans="1:10" ht="12.75">
      <c r="A24" s="19"/>
      <c r="B24" s="291" t="str">
        <f>IF(Opci!C25&lt;&gt;"",MID(Opci!C25,1,30),"")</f>
        <v>CROATIA BANKA d.d.</v>
      </c>
      <c r="C24" s="291"/>
      <c r="D24" s="291"/>
      <c r="E24" s="20"/>
      <c r="F24" s="20"/>
      <c r="G24" s="20"/>
      <c r="H24" s="20"/>
      <c r="I24" s="20"/>
      <c r="J24" s="21"/>
    </row>
    <row r="25" spans="1:10" ht="12.75">
      <c r="A25" s="19"/>
      <c r="B25" s="291" t="str">
        <f>IF(Opci!C29&lt;&gt;"",MID(Opci!C29,1,30),"")</f>
        <v>R. Frangeša Mihanovića 9</v>
      </c>
      <c r="C25" s="291"/>
      <c r="D25" s="291"/>
      <c r="E25" s="20"/>
      <c r="F25" s="20"/>
      <c r="G25" s="20"/>
      <c r="H25" s="20"/>
      <c r="I25" s="20"/>
      <c r="J25" s="21"/>
    </row>
    <row r="26" spans="1:10" ht="12.75">
      <c r="A26" s="19"/>
      <c r="B26" s="291" t="str">
        <f>IF(AND(Opci!C27&lt;&gt;"",Opci!F27&lt;&gt;""),MID(Opci!C27&amp;" "&amp;Opci!F27,1,30),"")</f>
        <v>10000 ZAGREB</v>
      </c>
      <c r="C26" s="291"/>
      <c r="D26" s="291"/>
      <c r="E26" s="20"/>
      <c r="F26" s="20"/>
      <c r="G26" s="20"/>
      <c r="H26" s="20"/>
      <c r="I26" s="20"/>
      <c r="J26" s="21"/>
    </row>
    <row r="27" spans="1:10" ht="12.75">
      <c r="A27" s="19"/>
      <c r="B27" s="20"/>
      <c r="C27" s="20"/>
      <c r="D27" s="20"/>
      <c r="E27" s="20"/>
      <c r="F27" s="20"/>
      <c r="G27" s="20"/>
      <c r="H27" s="20"/>
      <c r="I27" s="20"/>
      <c r="J27" s="21"/>
    </row>
    <row r="28" spans="1:10" ht="11.25" customHeight="1">
      <c r="A28" s="19"/>
      <c r="B28" s="20"/>
      <c r="C28" s="20"/>
      <c r="D28" s="20"/>
      <c r="E28" s="20"/>
      <c r="F28" s="20"/>
      <c r="G28" s="20"/>
      <c r="H28" s="20"/>
      <c r="I28" s="20"/>
      <c r="J28" s="21"/>
    </row>
    <row r="29" spans="1:10" ht="12.75">
      <c r="A29" s="19"/>
      <c r="B29" s="20"/>
      <c r="C29" s="20"/>
      <c r="D29" s="20"/>
      <c r="E29" s="20"/>
      <c r="F29" s="20"/>
      <c r="G29" s="20"/>
      <c r="H29" s="20"/>
      <c r="I29" s="20"/>
      <c r="J29" s="21"/>
    </row>
    <row r="30" spans="1:10" ht="12.75">
      <c r="A30" s="19"/>
      <c r="B30" s="20"/>
      <c r="C30" s="20"/>
      <c r="D30" s="20"/>
      <c r="E30" s="20"/>
      <c r="F30" s="20"/>
      <c r="G30" s="292" t="str">
        <f>IF(Opci!C23&lt;&gt;"","   "&amp;MID(Opci!C23,1,1)&amp;" "&amp;MID(Opci!C23,2,1)&amp;" "&amp;MID(Opci!C23,3,1)&amp;" "&amp;MID(Opci!C23,4,1)&amp;"  "&amp;MID(Opci!C23,5,1)&amp;" "&amp;MID(Opci!C23,6,1)&amp;" "&amp;MID(Opci!C23,7,1)&amp;" "&amp;MID(Opci!C23,8,1)&amp;" "&amp;MID(Opci!C23,9,1)&amp;" "&amp;MID(Opci!C23,10,1)&amp;" "&amp;MID(Opci!C23,11,1),"")</f>
        <v>   3 2 2 4  7 7 9 5 9 8 9</v>
      </c>
      <c r="H30" s="293"/>
      <c r="I30" s="293"/>
      <c r="J30" s="21"/>
    </row>
    <row r="31" spans="1:10" ht="19.5" customHeight="1">
      <c r="A31" s="19"/>
      <c r="B31" s="20"/>
      <c r="C31" s="20"/>
      <c r="D31" s="20"/>
      <c r="E31" s="20"/>
      <c r="F31" s="20"/>
      <c r="G31" s="292"/>
      <c r="H31" s="293"/>
      <c r="I31" s="293"/>
      <c r="J31" s="21"/>
    </row>
    <row r="32" spans="1:10" ht="14.25" customHeight="1">
      <c r="A32" s="19"/>
      <c r="B32" s="20"/>
      <c r="C32" s="20"/>
      <c r="D32" s="294" t="str">
        <f>"     Javna objava godišnjeg financijskog izvještaja za "&amp;Opci!G14&amp;". godinu"</f>
        <v>     Javna objava godišnjeg financijskog izvještaja za 2013. godinu</v>
      </c>
      <c r="E32" s="295"/>
      <c r="F32" s="295"/>
      <c r="G32" s="295"/>
      <c r="H32" s="295"/>
      <c r="I32" s="295"/>
      <c r="J32" s="296"/>
    </row>
    <row r="33" spans="1:10" ht="12.75">
      <c r="A33" s="19"/>
      <c r="B33" s="20"/>
      <c r="C33" s="20"/>
      <c r="D33" s="20"/>
      <c r="E33" s="20"/>
      <c r="F33" s="20"/>
      <c r="G33" s="20"/>
      <c r="H33" s="20"/>
      <c r="I33" s="20"/>
      <c r="J33" s="21"/>
    </row>
    <row r="34" spans="1:10" ht="12.75">
      <c r="A34" s="19"/>
      <c r="B34" s="20"/>
      <c r="C34" s="20"/>
      <c r="D34" s="20"/>
      <c r="E34" s="20"/>
      <c r="F34" s="20"/>
      <c r="G34" s="20"/>
      <c r="H34" s="20"/>
      <c r="I34" s="20"/>
      <c r="J34" s="21"/>
    </row>
    <row r="35" spans="1:10" ht="12.75">
      <c r="A35" s="19"/>
      <c r="B35" s="20"/>
      <c r="C35" s="20"/>
      <c r="D35" s="20"/>
      <c r="E35" s="20"/>
      <c r="F35" s="20"/>
      <c r="G35" s="20"/>
      <c r="H35" s="20"/>
      <c r="I35" s="20"/>
      <c r="J35" s="21"/>
    </row>
    <row r="36" spans="1:10" ht="12.75">
      <c r="A36" s="19"/>
      <c r="B36" s="20"/>
      <c r="C36" s="20"/>
      <c r="D36" s="20"/>
      <c r="E36" s="20"/>
      <c r="F36" s="20"/>
      <c r="G36" s="20"/>
      <c r="H36" s="20"/>
      <c r="I36" s="20"/>
      <c r="J36" s="21"/>
    </row>
    <row r="37" spans="1:10" ht="12.75">
      <c r="A37" s="19"/>
      <c r="B37" s="20"/>
      <c r="C37" s="20"/>
      <c r="D37" s="20"/>
      <c r="E37" s="20"/>
      <c r="F37" s="20"/>
      <c r="G37" s="20"/>
      <c r="H37" s="20"/>
      <c r="I37" s="20"/>
      <c r="J37" s="21"/>
    </row>
    <row r="38" spans="1:10" ht="12.75">
      <c r="A38" s="19"/>
      <c r="B38" s="20"/>
      <c r="C38" s="20"/>
      <c r="D38" s="20"/>
      <c r="E38" s="20"/>
      <c r="F38" s="20"/>
      <c r="G38" s="20"/>
      <c r="H38" s="20"/>
      <c r="I38" s="20"/>
      <c r="J38" s="21"/>
    </row>
    <row r="39" spans="1:10" ht="12.75">
      <c r="A39" s="19"/>
      <c r="B39" s="20"/>
      <c r="C39" s="20"/>
      <c r="D39" s="20"/>
      <c r="E39" s="20"/>
      <c r="F39" s="20"/>
      <c r="G39" s="20"/>
      <c r="H39" s="20"/>
      <c r="I39" s="20"/>
      <c r="J39" s="21"/>
    </row>
    <row r="40" spans="1:10" ht="4.5" customHeight="1">
      <c r="A40" s="19"/>
      <c r="B40" s="20"/>
      <c r="C40" s="20"/>
      <c r="D40" s="20"/>
      <c r="E40" s="20"/>
      <c r="F40" s="20"/>
      <c r="G40" s="20"/>
      <c r="H40" s="20"/>
      <c r="I40" s="20"/>
      <c r="J40" s="21"/>
    </row>
    <row r="41" spans="1:10" ht="4.5" customHeight="1">
      <c r="A41" s="22"/>
      <c r="B41" s="23"/>
      <c r="C41" s="23"/>
      <c r="D41" s="23"/>
      <c r="E41" s="23"/>
      <c r="F41" s="23"/>
      <c r="G41" s="23"/>
      <c r="H41" s="23"/>
      <c r="I41" s="23"/>
      <c r="J41" s="24"/>
    </row>
  </sheetData>
  <sheetProtection password="C79A" sheet="1" objects="1"/>
  <mergeCells count="21">
    <mergeCell ref="A1:B2"/>
    <mergeCell ref="A3:J3"/>
    <mergeCell ref="A5:J5"/>
    <mergeCell ref="A6:J6"/>
    <mergeCell ref="B12:H12"/>
    <mergeCell ref="B13:H13"/>
    <mergeCell ref="B14:H14"/>
    <mergeCell ref="A16:J16"/>
    <mergeCell ref="A7:J7"/>
    <mergeCell ref="A8:J8"/>
    <mergeCell ref="A9:J9"/>
    <mergeCell ref="I10:I11"/>
    <mergeCell ref="J10:J11"/>
    <mergeCell ref="A11:H11"/>
    <mergeCell ref="B26:D26"/>
    <mergeCell ref="G30:I31"/>
    <mergeCell ref="D32:J32"/>
    <mergeCell ref="A18:B18"/>
    <mergeCell ref="I21:J22"/>
    <mergeCell ref="B24:D24"/>
    <mergeCell ref="B25:D25"/>
  </mergeCells>
  <dataValidations count="1">
    <dataValidation type="list" allowBlank="1" showInputMessage="1" showErrorMessage="1" errorTitle="Neispravan unos" error="Šfira načina predaje može biti samo broj 1, 2 ili 3." sqref="C18">
      <formula1>"1,2,3"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85"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56"/>
  <sheetViews>
    <sheetView showGridLines="0" showRowColHeaders="0" zoomScalePageLayoutView="0" workbookViewId="0" topLeftCell="A1">
      <pane ySplit="4" topLeftCell="A5" activePane="bottomLeft" state="frozen"/>
      <selection pane="topLeft" activeCell="A1" sqref="A1"/>
      <selection pane="bottomLeft" activeCell="A1" sqref="A1:B2"/>
    </sheetView>
  </sheetViews>
  <sheetFormatPr defaultColWidth="0" defaultRowHeight="12.75" zeroHeight="1"/>
  <cols>
    <col min="1" max="10" width="10.7109375" style="0" customWidth="1"/>
    <col min="11" max="11" width="0.85546875" style="0" customWidth="1"/>
    <col min="12" max="16384" width="0" style="0" hidden="1" customWidth="1"/>
  </cols>
  <sheetData>
    <row r="1" spans="1:10" ht="19.5" customHeight="1">
      <c r="A1" s="320" t="s">
        <v>1801</v>
      </c>
      <c r="B1" s="321"/>
      <c r="C1" s="88" t="s">
        <v>396</v>
      </c>
      <c r="D1" s="85" t="s">
        <v>1802</v>
      </c>
      <c r="E1" s="85" t="s">
        <v>305</v>
      </c>
      <c r="F1" s="106" t="s">
        <v>1792</v>
      </c>
      <c r="G1" s="85" t="s">
        <v>397</v>
      </c>
      <c r="H1" s="106" t="s">
        <v>398</v>
      </c>
      <c r="I1" s="85" t="s">
        <v>306</v>
      </c>
      <c r="J1" s="86" t="s">
        <v>399</v>
      </c>
    </row>
    <row r="2" spans="1:10" s="3" customFormat="1" ht="19.5" customHeight="1">
      <c r="A2" s="322"/>
      <c r="B2" s="323"/>
      <c r="C2" s="89" t="s">
        <v>1803</v>
      </c>
      <c r="D2" s="90" t="s">
        <v>308</v>
      </c>
      <c r="E2" s="90" t="s">
        <v>1804</v>
      </c>
      <c r="F2" s="90" t="s">
        <v>307</v>
      </c>
      <c r="G2" s="90" t="s">
        <v>401</v>
      </c>
      <c r="H2" s="91" t="s">
        <v>402</v>
      </c>
      <c r="I2" s="87"/>
      <c r="J2" s="87"/>
    </row>
    <row r="3" spans="1:10" ht="38.25" customHeight="1">
      <c r="A3" s="386"/>
      <c r="B3" s="386"/>
      <c r="C3" s="387" t="s">
        <v>170</v>
      </c>
      <c r="D3" s="388"/>
      <c r="E3" s="388"/>
      <c r="F3" s="388"/>
      <c r="G3" s="388"/>
      <c r="H3" s="388"/>
      <c r="I3" s="386" t="str">
        <f>"Verzija "&amp;MID(Skriveni!B4,1,1)&amp;"."&amp;MID(Skriveni!B4,2,1)&amp;"."&amp;MID(Skriveni!B4,3,1)&amp;"."</f>
        <v>Verzija 1.0.6.</v>
      </c>
      <c r="J3" s="386"/>
    </row>
    <row r="4" spans="1:10" ht="60" customHeight="1">
      <c r="A4" s="380" t="s">
        <v>1201</v>
      </c>
      <c r="B4" s="381"/>
      <c r="C4" s="381"/>
      <c r="D4" s="381"/>
      <c r="E4" s="381"/>
      <c r="F4" s="381"/>
      <c r="G4" s="381"/>
      <c r="H4" s="381"/>
      <c r="I4" s="381"/>
      <c r="J4" s="382"/>
    </row>
    <row r="5" spans="1:10" ht="18" customHeight="1">
      <c r="A5" s="383" t="s">
        <v>1202</v>
      </c>
      <c r="B5" s="384"/>
      <c r="C5" s="384"/>
      <c r="D5" s="384"/>
      <c r="E5" s="384"/>
      <c r="F5" s="384"/>
      <c r="G5" s="384"/>
      <c r="H5" s="384"/>
      <c r="I5" s="384"/>
      <c r="J5" s="385"/>
    </row>
    <row r="6" spans="1:10" ht="40.5" customHeight="1">
      <c r="A6" s="391" t="s">
        <v>1714</v>
      </c>
      <c r="B6" s="389"/>
      <c r="C6" s="389"/>
      <c r="D6" s="389"/>
      <c r="E6" s="389"/>
      <c r="F6" s="389"/>
      <c r="G6" s="389"/>
      <c r="H6" s="389"/>
      <c r="I6" s="389"/>
      <c r="J6" s="390"/>
    </row>
    <row r="7" spans="1:10" ht="54" customHeight="1">
      <c r="A7" s="367" t="s">
        <v>1583</v>
      </c>
      <c r="B7" s="389"/>
      <c r="C7" s="389"/>
      <c r="D7" s="389"/>
      <c r="E7" s="389"/>
      <c r="F7" s="389"/>
      <c r="G7" s="389"/>
      <c r="H7" s="389"/>
      <c r="I7" s="389"/>
      <c r="J7" s="390"/>
    </row>
    <row r="8" spans="1:10" ht="67.5" customHeight="1">
      <c r="A8" s="367" t="s">
        <v>1203</v>
      </c>
      <c r="B8" s="389"/>
      <c r="C8" s="389"/>
      <c r="D8" s="389"/>
      <c r="E8" s="389"/>
      <c r="F8" s="389"/>
      <c r="G8" s="389"/>
      <c r="H8" s="389"/>
      <c r="I8" s="389"/>
      <c r="J8" s="390"/>
    </row>
    <row r="9" spans="1:10" ht="51" customHeight="1">
      <c r="A9" s="367" t="s">
        <v>2216</v>
      </c>
      <c r="B9" s="389"/>
      <c r="C9" s="389"/>
      <c r="D9" s="389"/>
      <c r="E9" s="389"/>
      <c r="F9" s="389"/>
      <c r="G9" s="389"/>
      <c r="H9" s="389"/>
      <c r="I9" s="389"/>
      <c r="J9" s="390"/>
    </row>
    <row r="10" spans="1:10" ht="41.25" customHeight="1">
      <c r="A10" s="367" t="s">
        <v>1165</v>
      </c>
      <c r="B10" s="368"/>
      <c r="C10" s="368"/>
      <c r="D10" s="368"/>
      <c r="E10" s="368"/>
      <c r="F10" s="368"/>
      <c r="G10" s="368"/>
      <c r="H10" s="368"/>
      <c r="I10" s="368"/>
      <c r="J10" s="369"/>
    </row>
    <row r="11" spans="1:10" ht="50.25" customHeight="1">
      <c r="A11" s="367" t="s">
        <v>711</v>
      </c>
      <c r="B11" s="368"/>
      <c r="C11" s="368"/>
      <c r="D11" s="368"/>
      <c r="E11" s="368"/>
      <c r="F11" s="368"/>
      <c r="G11" s="368"/>
      <c r="H11" s="368"/>
      <c r="I11" s="368"/>
      <c r="J11" s="369"/>
    </row>
    <row r="12" spans="1:10" ht="78.75" customHeight="1">
      <c r="A12" s="367" t="s">
        <v>1408</v>
      </c>
      <c r="B12" s="368"/>
      <c r="C12" s="368"/>
      <c r="D12" s="368"/>
      <c r="E12" s="368"/>
      <c r="F12" s="368"/>
      <c r="G12" s="368"/>
      <c r="H12" s="368"/>
      <c r="I12" s="368"/>
      <c r="J12" s="369"/>
    </row>
    <row r="13" spans="1:10" ht="63" customHeight="1">
      <c r="A13" s="367" t="s">
        <v>680</v>
      </c>
      <c r="B13" s="389"/>
      <c r="C13" s="389"/>
      <c r="D13" s="389"/>
      <c r="E13" s="389"/>
      <c r="F13" s="389"/>
      <c r="G13" s="389"/>
      <c r="H13" s="389"/>
      <c r="I13" s="389"/>
      <c r="J13" s="390"/>
    </row>
    <row r="14" spans="1:10" ht="45.75" customHeight="1">
      <c r="A14" s="367" t="s">
        <v>3</v>
      </c>
      <c r="B14" s="368"/>
      <c r="C14" s="368"/>
      <c r="D14" s="368"/>
      <c r="E14" s="368"/>
      <c r="F14" s="368"/>
      <c r="G14" s="368"/>
      <c r="H14" s="368"/>
      <c r="I14" s="368"/>
      <c r="J14" s="369"/>
    </row>
    <row r="15" spans="1:10" ht="42" customHeight="1">
      <c r="A15" s="367" t="s">
        <v>712</v>
      </c>
      <c r="B15" s="368"/>
      <c r="C15" s="368"/>
      <c r="D15" s="368"/>
      <c r="E15" s="368"/>
      <c r="F15" s="368"/>
      <c r="G15" s="368"/>
      <c r="H15" s="368"/>
      <c r="I15" s="368"/>
      <c r="J15" s="369"/>
    </row>
    <row r="16" spans="1:10" ht="90" customHeight="1">
      <c r="A16" s="367" t="s">
        <v>2160</v>
      </c>
      <c r="B16" s="368"/>
      <c r="C16" s="368"/>
      <c r="D16" s="368"/>
      <c r="E16" s="368"/>
      <c r="F16" s="368"/>
      <c r="G16" s="368"/>
      <c r="H16" s="368"/>
      <c r="I16" s="368"/>
      <c r="J16" s="369"/>
    </row>
    <row r="17" spans="1:10" ht="99" customHeight="1">
      <c r="A17" s="367" t="s">
        <v>1709</v>
      </c>
      <c r="B17" s="368"/>
      <c r="C17" s="368"/>
      <c r="D17" s="368"/>
      <c r="E17" s="368"/>
      <c r="F17" s="368"/>
      <c r="G17" s="368"/>
      <c r="H17" s="368"/>
      <c r="I17" s="368"/>
      <c r="J17" s="369"/>
    </row>
    <row r="18" spans="1:10" ht="42" customHeight="1">
      <c r="A18" s="367" t="s">
        <v>1710</v>
      </c>
      <c r="B18" s="368"/>
      <c r="C18" s="368"/>
      <c r="D18" s="368"/>
      <c r="E18" s="368"/>
      <c r="F18" s="368"/>
      <c r="G18" s="368"/>
      <c r="H18" s="368"/>
      <c r="I18" s="368"/>
      <c r="J18" s="369"/>
    </row>
    <row r="19" spans="1:10" ht="39.75" customHeight="1">
      <c r="A19" s="367" t="s">
        <v>2610</v>
      </c>
      <c r="B19" s="368"/>
      <c r="C19" s="368"/>
      <c r="D19" s="368"/>
      <c r="E19" s="368"/>
      <c r="F19" s="368"/>
      <c r="G19" s="368"/>
      <c r="H19" s="368"/>
      <c r="I19" s="368"/>
      <c r="J19" s="369"/>
    </row>
    <row r="20" spans="1:10" ht="90" customHeight="1">
      <c r="A20" s="367" t="s">
        <v>163</v>
      </c>
      <c r="B20" s="368"/>
      <c r="C20" s="368"/>
      <c r="D20" s="368"/>
      <c r="E20" s="368"/>
      <c r="F20" s="368"/>
      <c r="G20" s="368"/>
      <c r="H20" s="368"/>
      <c r="I20" s="368"/>
      <c r="J20" s="369"/>
    </row>
    <row r="21" spans="1:10" ht="52.5" customHeight="1">
      <c r="A21" s="367" t="s">
        <v>1052</v>
      </c>
      <c r="B21" s="368"/>
      <c r="C21" s="368"/>
      <c r="D21" s="368"/>
      <c r="E21" s="368"/>
      <c r="F21" s="368"/>
      <c r="G21" s="368"/>
      <c r="H21" s="368"/>
      <c r="I21" s="368"/>
      <c r="J21" s="369"/>
    </row>
    <row r="22" spans="1:10" ht="65.25" customHeight="1">
      <c r="A22" s="367" t="s">
        <v>2600</v>
      </c>
      <c r="B22" s="368"/>
      <c r="C22" s="368"/>
      <c r="D22" s="368"/>
      <c r="E22" s="368"/>
      <c r="F22" s="368"/>
      <c r="G22" s="368"/>
      <c r="H22" s="368"/>
      <c r="I22" s="368"/>
      <c r="J22" s="369"/>
    </row>
    <row r="23" spans="1:10" ht="64.5" customHeight="1">
      <c r="A23" s="367" t="s">
        <v>1582</v>
      </c>
      <c r="B23" s="368"/>
      <c r="C23" s="368"/>
      <c r="D23" s="368"/>
      <c r="E23" s="368"/>
      <c r="F23" s="368"/>
      <c r="G23" s="368"/>
      <c r="H23" s="368"/>
      <c r="I23" s="368"/>
      <c r="J23" s="369"/>
    </row>
    <row r="24" spans="1:10" ht="75.75" customHeight="1">
      <c r="A24" s="367" t="s">
        <v>713</v>
      </c>
      <c r="B24" s="368"/>
      <c r="C24" s="368"/>
      <c r="D24" s="368"/>
      <c r="E24" s="368"/>
      <c r="F24" s="368"/>
      <c r="G24" s="368"/>
      <c r="H24" s="368"/>
      <c r="I24" s="368"/>
      <c r="J24" s="369"/>
    </row>
    <row r="25" spans="1:10" ht="74.25" customHeight="1">
      <c r="A25" s="367" t="s">
        <v>191</v>
      </c>
      <c r="B25" s="368"/>
      <c r="C25" s="368"/>
      <c r="D25" s="368"/>
      <c r="E25" s="368"/>
      <c r="F25" s="368"/>
      <c r="G25" s="368"/>
      <c r="H25" s="368"/>
      <c r="I25" s="368"/>
      <c r="J25" s="369"/>
    </row>
    <row r="26" spans="1:10" ht="53.25" customHeight="1">
      <c r="A26" s="361" t="s">
        <v>2413</v>
      </c>
      <c r="B26" s="362"/>
      <c r="C26" s="362"/>
      <c r="D26" s="362"/>
      <c r="E26" s="362"/>
      <c r="F26" s="362"/>
      <c r="G26" s="362"/>
      <c r="H26" s="362"/>
      <c r="I26" s="362"/>
      <c r="J26" s="363"/>
    </row>
    <row r="27" spans="1:10" ht="16.5" customHeight="1">
      <c r="A27" s="338" t="s">
        <v>1970</v>
      </c>
      <c r="B27" s="339"/>
      <c r="C27" s="339"/>
      <c r="D27" s="339"/>
      <c r="E27" s="339"/>
      <c r="F27" s="339"/>
      <c r="G27" s="339"/>
      <c r="H27" s="339"/>
      <c r="I27" s="339"/>
      <c r="J27" s="340"/>
    </row>
    <row r="28" spans="1:10" ht="24.75" customHeight="1">
      <c r="A28" s="358" t="s">
        <v>907</v>
      </c>
      <c r="B28" s="359"/>
      <c r="C28" s="359"/>
      <c r="D28" s="359"/>
      <c r="E28" s="359"/>
      <c r="F28" s="359"/>
      <c r="G28" s="359"/>
      <c r="H28" s="359"/>
      <c r="I28" s="359"/>
      <c r="J28" s="360"/>
    </row>
    <row r="29" spans="1:10" ht="26.25" customHeight="1">
      <c r="A29" s="364" t="s">
        <v>171</v>
      </c>
      <c r="B29" s="365"/>
      <c r="C29" s="365"/>
      <c r="D29" s="365"/>
      <c r="E29" s="365"/>
      <c r="F29" s="365"/>
      <c r="G29" s="365"/>
      <c r="H29" s="365"/>
      <c r="I29" s="365"/>
      <c r="J29" s="366"/>
    </row>
    <row r="30" spans="1:10" ht="25.5" customHeight="1">
      <c r="A30" s="364" t="s">
        <v>681</v>
      </c>
      <c r="B30" s="365"/>
      <c r="C30" s="365"/>
      <c r="D30" s="365"/>
      <c r="E30" s="365"/>
      <c r="F30" s="365"/>
      <c r="G30" s="365"/>
      <c r="H30" s="365"/>
      <c r="I30" s="365"/>
      <c r="J30" s="366"/>
    </row>
    <row r="31" spans="1:10" ht="15" customHeight="1">
      <c r="A31" s="364" t="s">
        <v>682</v>
      </c>
      <c r="B31" s="365"/>
      <c r="C31" s="365"/>
      <c r="D31" s="365"/>
      <c r="E31" s="365"/>
      <c r="F31" s="365"/>
      <c r="G31" s="365"/>
      <c r="H31" s="365"/>
      <c r="I31" s="365"/>
      <c r="J31" s="366"/>
    </row>
    <row r="32" spans="1:10" ht="15" customHeight="1">
      <c r="A32" s="364" t="s">
        <v>2414</v>
      </c>
      <c r="B32" s="365"/>
      <c r="C32" s="365"/>
      <c r="D32" s="365"/>
      <c r="E32" s="365"/>
      <c r="F32" s="365"/>
      <c r="G32" s="365"/>
      <c r="H32" s="365"/>
      <c r="I32" s="365"/>
      <c r="J32" s="366"/>
    </row>
    <row r="33" spans="1:10" ht="27" customHeight="1">
      <c r="A33" s="364" t="s">
        <v>2415</v>
      </c>
      <c r="B33" s="365"/>
      <c r="C33" s="365"/>
      <c r="D33" s="365"/>
      <c r="E33" s="365"/>
      <c r="F33" s="365"/>
      <c r="G33" s="365"/>
      <c r="H33" s="365"/>
      <c r="I33" s="365"/>
      <c r="J33" s="366"/>
    </row>
    <row r="34" spans="1:10" ht="73.5" customHeight="1">
      <c r="A34" s="347" t="s">
        <v>483</v>
      </c>
      <c r="B34" s="348"/>
      <c r="C34" s="348"/>
      <c r="D34" s="348"/>
      <c r="E34" s="348"/>
      <c r="F34" s="348"/>
      <c r="G34" s="348"/>
      <c r="H34" s="348"/>
      <c r="I34" s="348"/>
      <c r="J34" s="349"/>
    </row>
    <row r="35" spans="1:10" ht="40.5" customHeight="1">
      <c r="A35" s="373" t="s">
        <v>2416</v>
      </c>
      <c r="B35" s="348"/>
      <c r="C35" s="348"/>
      <c r="D35" s="348"/>
      <c r="E35" s="348"/>
      <c r="F35" s="348"/>
      <c r="G35" s="348"/>
      <c r="H35" s="348"/>
      <c r="I35" s="348"/>
      <c r="J35" s="349"/>
    </row>
    <row r="36" spans="1:10" ht="128.25" customHeight="1">
      <c r="A36" s="347" t="s">
        <v>1712</v>
      </c>
      <c r="B36" s="348"/>
      <c r="C36" s="348"/>
      <c r="D36" s="348"/>
      <c r="E36" s="348"/>
      <c r="F36" s="348"/>
      <c r="G36" s="348"/>
      <c r="H36" s="348"/>
      <c r="I36" s="348"/>
      <c r="J36" s="349"/>
    </row>
    <row r="37" spans="1:10" ht="15" customHeight="1">
      <c r="A37" s="370" t="s">
        <v>908</v>
      </c>
      <c r="B37" s="371"/>
      <c r="C37" s="371"/>
      <c r="D37" s="371"/>
      <c r="E37" s="371"/>
      <c r="F37" s="371"/>
      <c r="G37" s="371"/>
      <c r="H37" s="371"/>
      <c r="I37" s="371"/>
      <c r="J37" s="372"/>
    </row>
    <row r="38" spans="1:10" ht="25.5" customHeight="1">
      <c r="A38" s="353" t="s">
        <v>2417</v>
      </c>
      <c r="B38" s="348"/>
      <c r="C38" s="348"/>
      <c r="D38" s="348"/>
      <c r="E38" s="348"/>
      <c r="F38" s="348"/>
      <c r="G38" s="348"/>
      <c r="H38" s="348"/>
      <c r="I38" s="348"/>
      <c r="J38" s="349"/>
    </row>
    <row r="39" spans="1:10" ht="27.75" customHeight="1">
      <c r="A39" s="374" t="s">
        <v>2418</v>
      </c>
      <c r="B39" s="375"/>
      <c r="C39" s="375"/>
      <c r="D39" s="375"/>
      <c r="E39" s="375"/>
      <c r="F39" s="375"/>
      <c r="G39" s="375"/>
      <c r="H39" s="375"/>
      <c r="I39" s="375"/>
      <c r="J39" s="376"/>
    </row>
    <row r="40" spans="1:10" ht="16.5" customHeight="1">
      <c r="A40" s="338" t="s">
        <v>1713</v>
      </c>
      <c r="B40" s="339"/>
      <c r="C40" s="339"/>
      <c r="D40" s="339"/>
      <c r="E40" s="339"/>
      <c r="F40" s="339"/>
      <c r="G40" s="339"/>
      <c r="H40" s="339"/>
      <c r="I40" s="339"/>
      <c r="J40" s="340"/>
    </row>
    <row r="41" spans="1:10" ht="30" customHeight="1">
      <c r="A41" s="341" t="s">
        <v>1409</v>
      </c>
      <c r="B41" s="342"/>
      <c r="C41" s="342"/>
      <c r="D41" s="342"/>
      <c r="E41" s="342"/>
      <c r="F41" s="342"/>
      <c r="G41" s="342"/>
      <c r="H41" s="342"/>
      <c r="I41" s="342"/>
      <c r="J41" s="343"/>
    </row>
    <row r="42" spans="1:10" ht="17.25" customHeight="1">
      <c r="A42" s="344" t="s">
        <v>379</v>
      </c>
      <c r="B42" s="345"/>
      <c r="C42" s="345"/>
      <c r="D42" s="345"/>
      <c r="E42" s="345"/>
      <c r="F42" s="345"/>
      <c r="G42" s="345"/>
      <c r="H42" s="345"/>
      <c r="I42" s="345"/>
      <c r="J42" s="346"/>
    </row>
    <row r="43" spans="1:10" ht="18" customHeight="1">
      <c r="A43" s="344" t="s">
        <v>380</v>
      </c>
      <c r="B43" s="345"/>
      <c r="C43" s="345"/>
      <c r="D43" s="345"/>
      <c r="E43" s="345"/>
      <c r="F43" s="345"/>
      <c r="G43" s="345"/>
      <c r="H43" s="345"/>
      <c r="I43" s="345"/>
      <c r="J43" s="346"/>
    </row>
    <row r="44" spans="1:10" ht="30.75" customHeight="1">
      <c r="A44" s="344" t="s">
        <v>381</v>
      </c>
      <c r="B44" s="345"/>
      <c r="C44" s="345"/>
      <c r="D44" s="345"/>
      <c r="E44" s="345"/>
      <c r="F44" s="345"/>
      <c r="G44" s="345"/>
      <c r="H44" s="345"/>
      <c r="I44" s="345"/>
      <c r="J44" s="346"/>
    </row>
    <row r="45" spans="1:10" ht="30.75" customHeight="1">
      <c r="A45" s="344" t="s">
        <v>2161</v>
      </c>
      <c r="B45" s="345"/>
      <c r="C45" s="345"/>
      <c r="D45" s="345"/>
      <c r="E45" s="345"/>
      <c r="F45" s="345"/>
      <c r="G45" s="345"/>
      <c r="H45" s="345"/>
      <c r="I45" s="345"/>
      <c r="J45" s="346"/>
    </row>
    <row r="46" spans="1:10" ht="27" customHeight="1">
      <c r="A46" s="344" t="s">
        <v>382</v>
      </c>
      <c r="B46" s="345"/>
      <c r="C46" s="345"/>
      <c r="D46" s="345"/>
      <c r="E46" s="345"/>
      <c r="F46" s="345"/>
      <c r="G46" s="345"/>
      <c r="H46" s="345"/>
      <c r="I46" s="345"/>
      <c r="J46" s="346"/>
    </row>
    <row r="47" spans="1:10" ht="27.75" customHeight="1">
      <c r="A47" s="344" t="s">
        <v>383</v>
      </c>
      <c r="B47" s="345"/>
      <c r="C47" s="345"/>
      <c r="D47" s="345"/>
      <c r="E47" s="345"/>
      <c r="F47" s="345"/>
      <c r="G47" s="345"/>
      <c r="H47" s="345"/>
      <c r="I47" s="345"/>
      <c r="J47" s="346"/>
    </row>
    <row r="48" spans="1:10" ht="17.25" customHeight="1">
      <c r="A48" s="344" t="s">
        <v>384</v>
      </c>
      <c r="B48" s="345"/>
      <c r="C48" s="345"/>
      <c r="D48" s="345"/>
      <c r="E48" s="345"/>
      <c r="F48" s="345"/>
      <c r="G48" s="345"/>
      <c r="H48" s="345"/>
      <c r="I48" s="345"/>
      <c r="J48" s="346"/>
    </row>
    <row r="49" spans="1:10" ht="54" customHeight="1">
      <c r="A49" s="344" t="s">
        <v>172</v>
      </c>
      <c r="B49" s="345"/>
      <c r="C49" s="345"/>
      <c r="D49" s="345"/>
      <c r="E49" s="345"/>
      <c r="F49" s="345"/>
      <c r="G49" s="345"/>
      <c r="H49" s="345"/>
      <c r="I49" s="345"/>
      <c r="J49" s="346"/>
    </row>
    <row r="50" spans="1:10" ht="31.5" customHeight="1">
      <c r="A50" s="344" t="s">
        <v>904</v>
      </c>
      <c r="B50" s="345"/>
      <c r="C50" s="345"/>
      <c r="D50" s="345"/>
      <c r="E50" s="345"/>
      <c r="F50" s="345"/>
      <c r="G50" s="345"/>
      <c r="H50" s="345"/>
      <c r="I50" s="345"/>
      <c r="J50" s="346"/>
    </row>
    <row r="51" spans="1:10" ht="30" customHeight="1">
      <c r="A51" s="344" t="s">
        <v>905</v>
      </c>
      <c r="B51" s="345"/>
      <c r="C51" s="345"/>
      <c r="D51" s="345"/>
      <c r="E51" s="345"/>
      <c r="F51" s="345"/>
      <c r="G51" s="345"/>
      <c r="H51" s="345"/>
      <c r="I51" s="345"/>
      <c r="J51" s="346"/>
    </row>
    <row r="52" spans="1:10" ht="77.25" customHeight="1">
      <c r="A52" s="377" t="s">
        <v>0</v>
      </c>
      <c r="B52" s="378"/>
      <c r="C52" s="378"/>
      <c r="D52" s="378"/>
      <c r="E52" s="378"/>
      <c r="F52" s="378"/>
      <c r="G52" s="378"/>
      <c r="H52" s="378"/>
      <c r="I52" s="378"/>
      <c r="J52" s="379"/>
    </row>
    <row r="53" spans="1:10" ht="40.5" customHeight="1">
      <c r="A53" s="357" t="s">
        <v>938</v>
      </c>
      <c r="B53" s="345"/>
      <c r="C53" s="345"/>
      <c r="D53" s="345"/>
      <c r="E53" s="345"/>
      <c r="F53" s="345"/>
      <c r="G53" s="345"/>
      <c r="H53" s="345"/>
      <c r="I53" s="345"/>
      <c r="J53" s="346"/>
    </row>
    <row r="54" spans="1:10" ht="30.75" customHeight="1">
      <c r="A54" s="357" t="s">
        <v>378</v>
      </c>
      <c r="B54" s="345"/>
      <c r="C54" s="345"/>
      <c r="D54" s="345"/>
      <c r="E54" s="345"/>
      <c r="F54" s="345"/>
      <c r="G54" s="345"/>
      <c r="H54" s="345"/>
      <c r="I54" s="345"/>
      <c r="J54" s="346"/>
    </row>
    <row r="55" spans="1:10" ht="30.75" customHeight="1">
      <c r="A55" s="354" t="s">
        <v>1</v>
      </c>
      <c r="B55" s="355"/>
      <c r="C55" s="355"/>
      <c r="D55" s="355"/>
      <c r="E55" s="355"/>
      <c r="F55" s="355"/>
      <c r="G55" s="355"/>
      <c r="H55" s="355"/>
      <c r="I55" s="355"/>
      <c r="J55" s="356"/>
    </row>
    <row r="56" spans="1:10" ht="35.25" customHeight="1">
      <c r="A56" s="350" t="s">
        <v>906</v>
      </c>
      <c r="B56" s="351"/>
      <c r="C56" s="351"/>
      <c r="D56" s="351"/>
      <c r="E56" s="351"/>
      <c r="F56" s="351"/>
      <c r="G56" s="351"/>
      <c r="H56" s="351"/>
      <c r="I56" s="351"/>
      <c r="J56" s="352"/>
    </row>
    <row r="57" ht="4.5" customHeight="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sheetData>
  <sheetProtection password="C79A" sheet="1" objects="1"/>
  <mergeCells count="57">
    <mergeCell ref="A11:J11"/>
    <mergeCell ref="A12:J12"/>
    <mergeCell ref="A13:J13"/>
    <mergeCell ref="A17:J17"/>
    <mergeCell ref="I3:J3"/>
    <mergeCell ref="A6:J6"/>
    <mergeCell ref="A9:J9"/>
    <mergeCell ref="A14:J14"/>
    <mergeCell ref="A7:J7"/>
    <mergeCell ref="A15:J15"/>
    <mergeCell ref="A10:J10"/>
    <mergeCell ref="A16:J16"/>
    <mergeCell ref="A8:J8"/>
    <mergeCell ref="A24:J24"/>
    <mergeCell ref="A23:J23"/>
    <mergeCell ref="A19:J19"/>
    <mergeCell ref="A21:J21"/>
    <mergeCell ref="A20:J20"/>
    <mergeCell ref="A18:J18"/>
    <mergeCell ref="A22:J22"/>
    <mergeCell ref="A53:J53"/>
    <mergeCell ref="A50:J50"/>
    <mergeCell ref="A52:J52"/>
    <mergeCell ref="A51:J51"/>
    <mergeCell ref="A33:J33"/>
    <mergeCell ref="A1:B2"/>
    <mergeCell ref="A4:J4"/>
    <mergeCell ref="A5:J5"/>
    <mergeCell ref="A3:B3"/>
    <mergeCell ref="C3:H3"/>
    <mergeCell ref="A36:J36"/>
    <mergeCell ref="A31:J31"/>
    <mergeCell ref="A25:J25"/>
    <mergeCell ref="A37:J37"/>
    <mergeCell ref="A35:J35"/>
    <mergeCell ref="A39:J39"/>
    <mergeCell ref="A27:J27"/>
    <mergeCell ref="A47:J47"/>
    <mergeCell ref="A43:J43"/>
    <mergeCell ref="A28:J28"/>
    <mergeCell ref="A26:J26"/>
    <mergeCell ref="A49:J49"/>
    <mergeCell ref="A48:J48"/>
    <mergeCell ref="A46:J46"/>
    <mergeCell ref="A29:J29"/>
    <mergeCell ref="A30:J30"/>
    <mergeCell ref="A32:J32"/>
    <mergeCell ref="A40:J40"/>
    <mergeCell ref="A41:J41"/>
    <mergeCell ref="A42:J42"/>
    <mergeCell ref="A34:J34"/>
    <mergeCell ref="A56:J56"/>
    <mergeCell ref="A45:J45"/>
    <mergeCell ref="A38:J38"/>
    <mergeCell ref="A55:J55"/>
    <mergeCell ref="A54:J54"/>
    <mergeCell ref="A44:J44"/>
  </mergeCells>
  <hyperlinks>
    <hyperlink ref="A56:J56" r:id="rId1" display="Za sva dodatna tumačenja u svezi s popunjavanjem pojedinih stavki iz obrasca POD-DOP možete se obratiti na adresu elektroničke pošte: pod-dop@dzs.hr"/>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5905511811023623" bottom="0.7874015748031497" header="0.3937007874015748" footer="0.5905511811023623"/>
  <pageSetup fitToHeight="0" fitToWidth="1" horizontalDpi="1200" verticalDpi="1200" orientation="portrait" paperSize="9" scale="85"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K643"/>
  <sheetViews>
    <sheetView showGridLines="0" showRowColHeaders="0" tabSelected="1" zoomScalePageLayoutView="0" workbookViewId="0" topLeftCell="A1">
      <pane ySplit="10" topLeftCell="A11" activePane="bottomLeft" state="frozen"/>
      <selection pane="topLeft" activeCell="A1" sqref="A1"/>
      <selection pane="bottomLeft" activeCell="I57" sqref="I57"/>
    </sheetView>
  </sheetViews>
  <sheetFormatPr defaultColWidth="0" defaultRowHeight="12.75" zeroHeight="1"/>
  <cols>
    <col min="1" max="1" width="10.7109375" style="0" customWidth="1"/>
    <col min="2" max="5" width="7.7109375" style="0" customWidth="1"/>
    <col min="6" max="6" width="7.28125" style="0" customWidth="1"/>
    <col min="7" max="7" width="8.7109375" style="0" customWidth="1"/>
    <col min="8" max="8" width="7.28125" style="0" customWidth="1"/>
    <col min="9" max="9" width="7.7109375" style="0" customWidth="1"/>
    <col min="10" max="14" width="6.7109375" style="0" customWidth="1"/>
    <col min="15" max="15" width="0.85546875" style="0" customWidth="1"/>
    <col min="16" max="36" width="15.7109375" style="0" hidden="1" customWidth="1"/>
    <col min="37" max="16384" width="9.140625" style="269" hidden="1" customWidth="1"/>
  </cols>
  <sheetData>
    <row r="1" spans="1:37" ht="19.5" customHeight="1">
      <c r="A1" s="320" t="s">
        <v>1801</v>
      </c>
      <c r="B1" s="321"/>
      <c r="C1" s="88" t="s">
        <v>396</v>
      </c>
      <c r="D1" s="85" t="s">
        <v>1802</v>
      </c>
      <c r="E1" s="85" t="s">
        <v>305</v>
      </c>
      <c r="F1" s="106" t="s">
        <v>1792</v>
      </c>
      <c r="G1" s="85" t="s">
        <v>397</v>
      </c>
      <c r="H1" s="106" t="s">
        <v>398</v>
      </c>
      <c r="I1" s="85" t="s">
        <v>306</v>
      </c>
      <c r="J1" s="86" t="s">
        <v>399</v>
      </c>
      <c r="K1" s="3"/>
      <c r="L1" s="3"/>
      <c r="M1" s="110">
        <f>IF(E5&lt;&gt;"",YEAR(E5),"")</f>
        <v>2013</v>
      </c>
      <c r="N1" s="3"/>
      <c r="O1" s="3"/>
      <c r="P1" s="29" t="s">
        <v>888</v>
      </c>
      <c r="Q1" s="29" t="s">
        <v>887</v>
      </c>
      <c r="R1" s="29" t="s">
        <v>889</v>
      </c>
      <c r="S1" s="29" t="s">
        <v>890</v>
      </c>
      <c r="T1" s="29" t="s">
        <v>863</v>
      </c>
      <c r="U1" s="29" t="s">
        <v>607</v>
      </c>
      <c r="V1" s="29" t="s">
        <v>891</v>
      </c>
      <c r="W1" s="29" t="s">
        <v>892</v>
      </c>
      <c r="X1" s="29" t="s">
        <v>1161</v>
      </c>
      <c r="Y1" s="29" t="s">
        <v>893</v>
      </c>
      <c r="Z1" s="29" t="s">
        <v>894</v>
      </c>
      <c r="AA1" s="29" t="s">
        <v>896</v>
      </c>
      <c r="AB1" s="29" t="s">
        <v>897</v>
      </c>
      <c r="AC1" s="29" t="s">
        <v>899</v>
      </c>
      <c r="AD1" s="29" t="s">
        <v>900</v>
      </c>
      <c r="AE1" s="29" t="s">
        <v>2314</v>
      </c>
      <c r="AF1" s="29" t="s">
        <v>2315</v>
      </c>
      <c r="AG1" s="29" t="s">
        <v>2317</v>
      </c>
      <c r="AH1" s="29" t="s">
        <v>2316</v>
      </c>
      <c r="AI1" s="29" t="s">
        <v>2318</v>
      </c>
      <c r="AJ1" s="29" t="s">
        <v>2320</v>
      </c>
      <c r="AK1" s="287" t="s">
        <v>482</v>
      </c>
    </row>
    <row r="2" spans="1:37" ht="19.5" customHeight="1">
      <c r="A2" s="322"/>
      <c r="B2" s="323"/>
      <c r="C2" s="89" t="s">
        <v>1803</v>
      </c>
      <c r="D2" s="90" t="s">
        <v>308</v>
      </c>
      <c r="E2" s="90" t="s">
        <v>1804</v>
      </c>
      <c r="F2" s="90" t="s">
        <v>307</v>
      </c>
      <c r="G2" s="90" t="s">
        <v>401</v>
      </c>
      <c r="H2" s="91" t="s">
        <v>402</v>
      </c>
      <c r="I2" s="87"/>
      <c r="J2" s="87"/>
      <c r="K2" s="3"/>
      <c r="L2" s="3"/>
      <c r="M2" s="118">
        <f>IF(H5&lt;&gt;"",YEAR(H5),"")</f>
        <v>2013</v>
      </c>
      <c r="N2" s="3"/>
      <c r="O2" s="3"/>
      <c r="P2" s="43">
        <f>IF(E5&lt;&gt;"",YEAR(E5)/100+MONTH(E5)/2+DAY(E5),0)</f>
        <v>21.63</v>
      </c>
      <c r="Q2" s="43">
        <f>IF(H5&lt;&gt;"",YEAR(H5)/100+MONTH(H5)/2+DAY(H5),0)</f>
        <v>57.129999999999995</v>
      </c>
      <c r="R2" s="44">
        <f>INT(C17)</f>
        <v>10</v>
      </c>
      <c r="S2" s="45">
        <f>INT(C19)/10</f>
        <v>346798.8</v>
      </c>
      <c r="T2" s="45">
        <f>INT(C21)/50</f>
        <v>1600147.4</v>
      </c>
      <c r="U2" s="45">
        <f>INT(C23)/100</f>
        <v>322477959.89</v>
      </c>
      <c r="V2" s="29">
        <f>LEN(Skriveni!B9)</f>
        <v>18</v>
      </c>
      <c r="W2" s="46">
        <f>INT(C27)/100</f>
        <v>100</v>
      </c>
      <c r="X2" s="29">
        <f>LEN(Skriveni!B11)</f>
        <v>6</v>
      </c>
      <c r="Y2" s="29">
        <f>LEN(Skriveni!B12)</f>
        <v>24</v>
      </c>
      <c r="Z2" s="46">
        <f>INT(C35)</f>
        <v>133</v>
      </c>
      <c r="AA2" s="45">
        <f>INT(C39)</f>
        <v>6419</v>
      </c>
      <c r="AB2" s="29">
        <f>IF(C41="DA",1,0)</f>
        <v>0</v>
      </c>
      <c r="AC2" s="29">
        <f>IF(C43="DA",1,0)</f>
        <v>1</v>
      </c>
      <c r="AD2" s="29">
        <f>INT(C45)</f>
        <v>2</v>
      </c>
      <c r="AE2" s="29">
        <f>INT(C47)</f>
        <v>3</v>
      </c>
      <c r="AF2" s="29">
        <f>INT(C49)</f>
        <v>0</v>
      </c>
      <c r="AG2" s="29">
        <f>C51*2+E51</f>
        <v>200</v>
      </c>
      <c r="AH2" s="29">
        <f>C53+2*E53+3*C55+4*E55</f>
        <v>2684</v>
      </c>
      <c r="AI2" s="29">
        <f>C57*2+E57</f>
        <v>36</v>
      </c>
      <c r="AJ2" s="29">
        <f>LEN(Skriveni!B43)</f>
        <v>13</v>
      </c>
      <c r="AK2" s="288">
        <f>INT(VALUE(E43))/100</f>
        <v>817448353.53</v>
      </c>
    </row>
    <row r="3" spans="1:36" ht="60" customHeight="1">
      <c r="A3" s="417" t="s">
        <v>488</v>
      </c>
      <c r="B3" s="418"/>
      <c r="C3" s="418"/>
      <c r="D3" s="418"/>
      <c r="E3" s="418"/>
      <c r="F3" s="418"/>
      <c r="G3" s="418"/>
      <c r="H3" s="418"/>
      <c r="I3" s="418"/>
      <c r="J3" s="418"/>
      <c r="K3" s="418"/>
      <c r="L3" s="418"/>
      <c r="M3" s="418"/>
      <c r="N3" s="419"/>
      <c r="O3" s="3"/>
      <c r="P3" s="3"/>
      <c r="Q3" s="3"/>
      <c r="R3" s="3"/>
      <c r="S3" s="3"/>
      <c r="T3" s="3"/>
      <c r="U3" s="3"/>
      <c r="V3" s="3"/>
      <c r="W3" s="3"/>
      <c r="X3" s="3"/>
      <c r="Y3" s="3"/>
      <c r="Z3" s="3"/>
      <c r="AA3" s="3"/>
      <c r="AB3" s="3"/>
      <c r="AC3" s="3"/>
      <c r="AD3" s="3"/>
      <c r="AE3" s="3"/>
      <c r="AF3" s="3"/>
      <c r="AG3" s="3"/>
      <c r="AH3" s="3"/>
      <c r="AI3" s="3"/>
      <c r="AJ3" s="3"/>
    </row>
    <row r="4" spans="1:36" ht="4.5" customHeight="1">
      <c r="A4" s="122"/>
      <c r="B4" s="123"/>
      <c r="C4" s="124"/>
      <c r="D4" s="123"/>
      <c r="E4" s="124"/>
      <c r="F4" s="124"/>
      <c r="G4" s="124"/>
      <c r="H4" s="124"/>
      <c r="I4" s="124"/>
      <c r="J4" s="124"/>
      <c r="K4" s="123"/>
      <c r="L4" s="123"/>
      <c r="M4" s="123"/>
      <c r="N4" s="123"/>
      <c r="O4" s="3"/>
      <c r="P4" s="3"/>
      <c r="Q4" s="3"/>
      <c r="R4" s="3"/>
      <c r="S4" s="3"/>
      <c r="T4" s="3"/>
      <c r="U4" s="3"/>
      <c r="V4" s="3"/>
      <c r="W4" s="3"/>
      <c r="X4" s="3"/>
      <c r="Y4" s="3"/>
      <c r="Z4" s="3"/>
      <c r="AA4" s="3"/>
      <c r="AB4" s="3"/>
      <c r="AC4" s="3"/>
      <c r="AD4" s="3"/>
      <c r="AE4" s="3"/>
      <c r="AF4" s="3"/>
      <c r="AG4" s="3"/>
      <c r="AH4" s="3"/>
      <c r="AI4" s="3"/>
      <c r="AJ4" s="3"/>
    </row>
    <row r="5" spans="1:36" ht="15" customHeight="1">
      <c r="A5" s="420" t="s">
        <v>1336</v>
      </c>
      <c r="B5" s="421"/>
      <c r="C5" s="421"/>
      <c r="D5" s="422"/>
      <c r="E5" s="408" t="s">
        <v>2623</v>
      </c>
      <c r="F5" s="409"/>
      <c r="G5" s="125" t="s">
        <v>1096</v>
      </c>
      <c r="H5" s="408" t="s">
        <v>2624</v>
      </c>
      <c r="I5" s="414"/>
      <c r="J5" s="415" t="s">
        <v>2289</v>
      </c>
      <c r="K5" s="416"/>
      <c r="L5" s="416"/>
      <c r="M5" s="416"/>
      <c r="N5" s="416"/>
      <c r="O5" s="3"/>
      <c r="P5" s="3"/>
      <c r="Q5" s="3"/>
      <c r="R5" s="3"/>
      <c r="S5" s="3"/>
      <c r="T5" s="3"/>
      <c r="U5" s="3"/>
      <c r="V5" s="3"/>
      <c r="W5" s="3"/>
      <c r="X5" s="3"/>
      <c r="Y5" s="3"/>
      <c r="Z5" s="3"/>
      <c r="AA5" s="3"/>
      <c r="AB5" s="3"/>
      <c r="AC5" s="3"/>
      <c r="AD5" s="3"/>
      <c r="AE5" s="3"/>
      <c r="AF5" s="3"/>
      <c r="AG5" s="3"/>
      <c r="AH5" s="3"/>
      <c r="AI5" s="3"/>
      <c r="AJ5" s="3"/>
    </row>
    <row r="6" spans="1:36" ht="4.5" customHeight="1">
      <c r="A6" s="53"/>
      <c r="B6" s="53"/>
      <c r="C6" s="53"/>
      <c r="D6" s="53"/>
      <c r="E6" s="126"/>
      <c r="F6" s="126"/>
      <c r="G6" s="53"/>
      <c r="H6" s="53"/>
      <c r="I6" s="53"/>
      <c r="J6" s="416"/>
      <c r="K6" s="416"/>
      <c r="L6" s="416"/>
      <c r="M6" s="416"/>
      <c r="N6" s="416"/>
      <c r="O6" s="3"/>
      <c r="P6" s="3"/>
      <c r="Q6" s="3"/>
      <c r="R6" s="3"/>
      <c r="S6" s="3"/>
      <c r="T6" s="3"/>
      <c r="U6" s="3"/>
      <c r="V6" s="3"/>
      <c r="W6" s="3"/>
      <c r="X6" s="3"/>
      <c r="Y6" s="3"/>
      <c r="Z6" s="3"/>
      <c r="AA6" s="3"/>
      <c r="AB6" s="3"/>
      <c r="AC6" s="3"/>
      <c r="AD6" s="3"/>
      <c r="AE6" s="3"/>
      <c r="AF6" s="3"/>
      <c r="AG6" s="3"/>
      <c r="AH6" s="3"/>
      <c r="AI6" s="3"/>
      <c r="AJ6" s="3"/>
    </row>
    <row r="7" spans="1:36" ht="4.5" customHeight="1">
      <c r="A7" s="127"/>
      <c r="B7" s="53"/>
      <c r="C7" s="53"/>
      <c r="D7" s="53"/>
      <c r="E7" s="53"/>
      <c r="F7" s="53"/>
      <c r="G7" s="53"/>
      <c r="H7" s="53"/>
      <c r="I7" s="53"/>
      <c r="J7" s="416"/>
      <c r="K7" s="416"/>
      <c r="L7" s="416"/>
      <c r="M7" s="416"/>
      <c r="N7" s="416"/>
      <c r="O7" s="3"/>
      <c r="P7" s="3"/>
      <c r="Q7" s="3"/>
      <c r="R7" s="3"/>
      <c r="S7" s="3"/>
      <c r="T7" s="3"/>
      <c r="U7" s="3"/>
      <c r="V7" s="3"/>
      <c r="W7" s="3"/>
      <c r="X7" s="3"/>
      <c r="Y7" s="3"/>
      <c r="Z7" s="3"/>
      <c r="AA7" s="3"/>
      <c r="AB7" s="3"/>
      <c r="AC7" s="3"/>
      <c r="AD7" s="3"/>
      <c r="AE7" s="3"/>
      <c r="AF7" s="3"/>
      <c r="AG7" s="3"/>
      <c r="AH7" s="3"/>
      <c r="AI7" s="3"/>
      <c r="AJ7" s="3"/>
    </row>
    <row r="8" spans="1:36" ht="4.5" customHeight="1">
      <c r="A8" s="128"/>
      <c r="B8" s="129"/>
      <c r="C8" s="129"/>
      <c r="D8" s="129"/>
      <c r="E8" s="126"/>
      <c r="F8" s="126"/>
      <c r="G8" s="126"/>
      <c r="H8" s="126"/>
      <c r="I8" s="126"/>
      <c r="J8" s="126"/>
      <c r="K8" s="130"/>
      <c r="L8" s="130"/>
      <c r="M8" s="130"/>
      <c r="N8" s="130"/>
      <c r="O8" s="3"/>
      <c r="P8" s="3"/>
      <c r="Q8" s="3"/>
      <c r="R8" s="3"/>
      <c r="S8" s="3"/>
      <c r="T8" s="3"/>
      <c r="U8" s="3"/>
      <c r="V8" s="3"/>
      <c r="W8" s="3"/>
      <c r="X8" s="3"/>
      <c r="Y8" s="3"/>
      <c r="Z8" s="3"/>
      <c r="AA8" s="3"/>
      <c r="AB8" s="3"/>
      <c r="AC8" s="3"/>
      <c r="AD8" s="3"/>
      <c r="AE8" s="3"/>
      <c r="AF8" s="3"/>
      <c r="AG8" s="3"/>
      <c r="AH8" s="3"/>
      <c r="AI8" s="3"/>
      <c r="AJ8" s="3"/>
    </row>
    <row r="9" spans="1:36" ht="15" customHeight="1">
      <c r="A9" s="129"/>
      <c r="B9" s="130"/>
      <c r="C9" s="53"/>
      <c r="D9" s="270" t="s">
        <v>1095</v>
      </c>
      <c r="E9" s="271">
        <v>4</v>
      </c>
      <c r="F9" s="410" t="str">
        <f>IF(E9&lt;&gt;""," "&amp;LOOKUP(E9,AB29:AB42,AC29:AC42),"")</f>
        <v> Dioničko društvo</v>
      </c>
      <c r="G9" s="411"/>
      <c r="H9" s="411"/>
      <c r="I9" s="411"/>
      <c r="J9" s="411"/>
      <c r="K9" s="411"/>
      <c r="L9" s="411"/>
      <c r="M9" s="411"/>
      <c r="N9" s="411"/>
      <c r="O9" s="3"/>
      <c r="P9" s="3"/>
      <c r="Q9" s="3"/>
      <c r="R9" s="3"/>
      <c r="S9" s="3"/>
      <c r="T9" s="3"/>
      <c r="U9" s="3"/>
      <c r="V9" s="3"/>
      <c r="W9" s="3"/>
      <c r="X9" s="3"/>
      <c r="Y9" s="3"/>
      <c r="Z9" s="3"/>
      <c r="AA9" s="3"/>
      <c r="AB9" s="3"/>
      <c r="AC9" s="3"/>
      <c r="AD9" s="3"/>
      <c r="AE9" s="3"/>
      <c r="AF9" s="3"/>
      <c r="AG9" s="3"/>
      <c r="AH9" s="3"/>
      <c r="AI9" s="3"/>
      <c r="AJ9" s="3"/>
    </row>
    <row r="10" spans="1:15" ht="4.5" customHeight="1">
      <c r="A10" s="132"/>
      <c r="B10" s="132"/>
      <c r="C10" s="132"/>
      <c r="D10" s="132"/>
      <c r="E10" s="133"/>
      <c r="F10" s="134"/>
      <c r="G10" s="135"/>
      <c r="H10" s="136"/>
      <c r="I10" s="136"/>
      <c r="J10" s="136"/>
      <c r="K10" s="136"/>
      <c r="L10" s="136"/>
      <c r="M10" s="136"/>
      <c r="N10" s="136"/>
      <c r="O10" s="20"/>
    </row>
    <row r="11" spans="1:14" ht="15">
      <c r="A11" s="84"/>
      <c r="B11" s="84"/>
      <c r="C11" s="84"/>
      <c r="D11" s="84"/>
      <c r="E11" s="137"/>
      <c r="F11" s="138"/>
      <c r="G11" s="139"/>
      <c r="H11" s="84"/>
      <c r="I11" s="84"/>
      <c r="J11" s="84"/>
      <c r="K11" s="84"/>
      <c r="L11" s="84"/>
      <c r="M11" s="84"/>
      <c r="N11" s="129"/>
    </row>
    <row r="12" spans="1:14" ht="23.25" customHeight="1">
      <c r="A12" s="140" t="s">
        <v>1221</v>
      </c>
      <c r="B12" s="141"/>
      <c r="C12" s="141"/>
      <c r="D12" s="141"/>
      <c r="E12" s="137"/>
      <c r="F12" s="138"/>
      <c r="G12" s="139"/>
      <c r="H12" s="84"/>
      <c r="I12" s="84"/>
      <c r="J12" s="84"/>
      <c r="K12" s="412" t="s">
        <v>1486</v>
      </c>
      <c r="L12" s="413"/>
      <c r="M12" s="413"/>
      <c r="N12" s="413"/>
    </row>
    <row r="13" spans="1:14" ht="40.5" customHeight="1">
      <c r="A13" s="456" t="s">
        <v>551</v>
      </c>
      <c r="B13" s="457"/>
      <c r="C13" s="457"/>
      <c r="D13" s="457"/>
      <c r="E13" s="457"/>
      <c r="F13" s="457"/>
      <c r="G13" s="457"/>
      <c r="H13" s="457"/>
      <c r="I13" s="457"/>
      <c r="J13" s="457"/>
      <c r="K13" s="457"/>
      <c r="L13" s="457"/>
      <c r="M13" s="457"/>
      <c r="N13" s="457"/>
    </row>
    <row r="14" spans="1:14" ht="17.25" customHeight="1">
      <c r="A14" s="84"/>
      <c r="B14" s="142"/>
      <c r="C14" s="142"/>
      <c r="D14" s="142"/>
      <c r="E14" s="143"/>
      <c r="F14" s="144" t="s">
        <v>210</v>
      </c>
      <c r="G14" s="121">
        <v>2013</v>
      </c>
      <c r="H14" s="461" t="s">
        <v>854</v>
      </c>
      <c r="I14" s="462"/>
      <c r="J14" s="462"/>
      <c r="K14" s="84"/>
      <c r="L14" s="142"/>
      <c r="M14" s="142"/>
      <c r="N14" s="142"/>
    </row>
    <row r="15" spans="1:14" ht="19.5" customHeight="1">
      <c r="A15" s="463">
        <f>Skriveni!B59</f>
        <v>13479010332.846004</v>
      </c>
      <c r="B15" s="464"/>
      <c r="C15" s="465"/>
      <c r="D15" s="145"/>
      <c r="E15" s="146"/>
      <c r="F15" s="458"/>
      <c r="G15" s="459"/>
      <c r="H15" s="459"/>
      <c r="I15" s="84"/>
      <c r="J15" s="84"/>
      <c r="K15" s="84"/>
      <c r="L15" s="84"/>
      <c r="M15" s="84"/>
      <c r="N15" s="84"/>
    </row>
    <row r="16" spans="1:14" ht="19.5" customHeight="1">
      <c r="A16" s="460" t="s">
        <v>155</v>
      </c>
      <c r="B16" s="460"/>
      <c r="C16" s="460"/>
      <c r="D16" s="34"/>
      <c r="E16" s="34"/>
      <c r="F16" s="34"/>
      <c r="G16" s="34"/>
      <c r="H16" s="34"/>
      <c r="I16" s="34"/>
      <c r="J16" s="84"/>
      <c r="K16" s="84"/>
      <c r="L16" s="84"/>
      <c r="M16" s="84"/>
      <c r="N16" s="84"/>
    </row>
    <row r="17" spans="1:17" ht="15" customHeight="1">
      <c r="A17" s="392" t="s">
        <v>859</v>
      </c>
      <c r="B17" s="393"/>
      <c r="C17" s="148">
        <v>10</v>
      </c>
      <c r="D17" s="84"/>
      <c r="E17" s="466" t="str">
        <f>IF(C17&lt;&gt;"",LOOKUP(C17,P17:P24,Q17:Q24),"Vrsta izvještaja još nije odabrana")</f>
        <v>Izvještaj kojeg ispunjava obveznik kome je kalendarska godina jednaka poslovnoj godini i kod kojeg u godini za koju se izvještaj podnosi nije bilo statusnih promjena, stečaja ili likvidacije.</v>
      </c>
      <c r="F17" s="427"/>
      <c r="G17" s="427"/>
      <c r="H17" s="427"/>
      <c r="I17" s="427"/>
      <c r="J17" s="34"/>
      <c r="K17" s="34"/>
      <c r="L17" s="34"/>
      <c r="M17" s="34"/>
      <c r="N17" s="34"/>
      <c r="P17">
        <v>10</v>
      </c>
      <c r="Q17" t="s">
        <v>860</v>
      </c>
    </row>
    <row r="18" spans="1:17" ht="4.5" customHeight="1">
      <c r="A18" s="84"/>
      <c r="B18" s="84"/>
      <c r="C18" s="34"/>
      <c r="D18" s="109"/>
      <c r="E18" s="427"/>
      <c r="F18" s="427"/>
      <c r="G18" s="427"/>
      <c r="H18" s="427"/>
      <c r="I18" s="427"/>
      <c r="J18" s="467" t="s">
        <v>1788</v>
      </c>
      <c r="K18" s="427"/>
      <c r="L18" s="427"/>
      <c r="M18" s="427"/>
      <c r="N18" s="427"/>
      <c r="P18">
        <v>11</v>
      </c>
      <c r="Q18" t="s">
        <v>2293</v>
      </c>
    </row>
    <row r="19" spans="1:17" ht="15" customHeight="1">
      <c r="A19" s="392" t="s">
        <v>2062</v>
      </c>
      <c r="B19" s="393"/>
      <c r="C19" s="436" t="s">
        <v>2611</v>
      </c>
      <c r="D19" s="438"/>
      <c r="E19" s="427"/>
      <c r="F19" s="427"/>
      <c r="G19" s="427"/>
      <c r="H19" s="427"/>
      <c r="I19" s="427"/>
      <c r="J19" s="427"/>
      <c r="K19" s="427"/>
      <c r="L19" s="427"/>
      <c r="M19" s="427"/>
      <c r="N19" s="427"/>
      <c r="P19">
        <v>20</v>
      </c>
      <c r="Q19" t="s">
        <v>2294</v>
      </c>
    </row>
    <row r="20" spans="1:17" ht="7.5" customHeight="1">
      <c r="A20" s="84"/>
      <c r="B20" s="84"/>
      <c r="C20" s="34"/>
      <c r="D20" s="34"/>
      <c r="E20" s="427"/>
      <c r="F20" s="427"/>
      <c r="G20" s="427"/>
      <c r="H20" s="427"/>
      <c r="I20" s="427"/>
      <c r="J20" s="427"/>
      <c r="K20" s="427"/>
      <c r="L20" s="427"/>
      <c r="M20" s="427"/>
      <c r="N20" s="427"/>
      <c r="P20">
        <v>21</v>
      </c>
      <c r="Q20" t="s">
        <v>2295</v>
      </c>
    </row>
    <row r="21" spans="1:17" ht="15" customHeight="1">
      <c r="A21" s="468" t="s">
        <v>2063</v>
      </c>
      <c r="B21" s="469"/>
      <c r="C21" s="436" t="s">
        <v>2612</v>
      </c>
      <c r="D21" s="438"/>
      <c r="E21" s="427"/>
      <c r="F21" s="427"/>
      <c r="G21" s="427"/>
      <c r="H21" s="427"/>
      <c r="I21" s="427"/>
      <c r="J21" s="84"/>
      <c r="K21" s="84"/>
      <c r="L21" s="84"/>
      <c r="M21" s="84"/>
      <c r="N21" s="84"/>
      <c r="P21">
        <v>30</v>
      </c>
      <c r="Q21" t="s">
        <v>2296</v>
      </c>
    </row>
    <row r="22" spans="1:17" ht="7.5" customHeight="1">
      <c r="A22" s="120"/>
      <c r="B22" s="120"/>
      <c r="C22" s="149"/>
      <c r="D22" s="34"/>
      <c r="E22" s="34"/>
      <c r="F22" s="34"/>
      <c r="G22" s="34"/>
      <c r="H22" s="34"/>
      <c r="I22" s="34"/>
      <c r="J22" s="34"/>
      <c r="K22" s="34"/>
      <c r="L22" s="34"/>
      <c r="M22" s="34"/>
      <c r="N22" s="34"/>
      <c r="P22">
        <v>31</v>
      </c>
      <c r="Q22" t="s">
        <v>2297</v>
      </c>
    </row>
    <row r="23" spans="1:17" ht="15" customHeight="1">
      <c r="A23" s="468" t="s">
        <v>901</v>
      </c>
      <c r="B23" s="480"/>
      <c r="C23" s="436" t="s">
        <v>2613</v>
      </c>
      <c r="D23" s="438"/>
      <c r="E23" s="34"/>
      <c r="F23" s="34"/>
      <c r="G23" s="34"/>
      <c r="H23" s="34"/>
      <c r="I23" s="34"/>
      <c r="J23" s="34"/>
      <c r="K23" s="34"/>
      <c r="L23" s="34"/>
      <c r="M23" s="34"/>
      <c r="N23" s="34"/>
      <c r="P23">
        <v>32</v>
      </c>
      <c r="Q23" t="s">
        <v>2298</v>
      </c>
    </row>
    <row r="24" spans="1:17" ht="7.5" customHeight="1">
      <c r="A24" s="481"/>
      <c r="B24" s="481"/>
      <c r="C24" s="34"/>
      <c r="D24" s="34"/>
      <c r="E24" s="34"/>
      <c r="F24" s="34"/>
      <c r="G24" s="34"/>
      <c r="H24" s="34"/>
      <c r="I24" s="34"/>
      <c r="J24" s="34"/>
      <c r="K24" s="34"/>
      <c r="L24" s="34"/>
      <c r="M24" s="34"/>
      <c r="N24" s="34"/>
      <c r="P24">
        <v>40</v>
      </c>
      <c r="Q24" t="s">
        <v>2</v>
      </c>
    </row>
    <row r="25" spans="1:14" ht="15" customHeight="1">
      <c r="A25" s="392" t="s">
        <v>156</v>
      </c>
      <c r="B25" s="393"/>
      <c r="C25" s="400" t="s">
        <v>2614</v>
      </c>
      <c r="D25" s="401"/>
      <c r="E25" s="401"/>
      <c r="F25" s="401"/>
      <c r="G25" s="401"/>
      <c r="H25" s="401"/>
      <c r="I25" s="401"/>
      <c r="J25" s="401"/>
      <c r="K25" s="401"/>
      <c r="L25" s="402"/>
      <c r="M25" s="34"/>
      <c r="N25" s="34"/>
    </row>
    <row r="26" spans="1:14" ht="7.5" customHeight="1">
      <c r="A26" s="84"/>
      <c r="B26" s="84"/>
      <c r="C26" s="150"/>
      <c r="D26" s="34"/>
      <c r="E26" s="34"/>
      <c r="F26" s="34"/>
      <c r="G26" s="34"/>
      <c r="H26" s="34"/>
      <c r="I26" s="34"/>
      <c r="J26" s="34"/>
      <c r="K26" s="34"/>
      <c r="L26" s="34"/>
      <c r="M26" s="34"/>
      <c r="N26" s="34"/>
    </row>
    <row r="27" spans="1:14" ht="15" customHeight="1">
      <c r="A27" s="392" t="s">
        <v>207</v>
      </c>
      <c r="B27" s="393"/>
      <c r="C27" s="483">
        <v>10000</v>
      </c>
      <c r="D27" s="484"/>
      <c r="E27" s="34"/>
      <c r="F27" s="400" t="s">
        <v>2615</v>
      </c>
      <c r="G27" s="401"/>
      <c r="H27" s="401"/>
      <c r="I27" s="401"/>
      <c r="J27" s="401"/>
      <c r="K27" s="401"/>
      <c r="L27" s="402"/>
      <c r="M27" s="34"/>
      <c r="N27" s="34"/>
    </row>
    <row r="28" spans="1:33" ht="7.5" customHeight="1">
      <c r="A28" s="84"/>
      <c r="B28" s="84"/>
      <c r="C28" s="34"/>
      <c r="D28" s="34"/>
      <c r="E28" s="34"/>
      <c r="F28" s="34"/>
      <c r="G28" s="34"/>
      <c r="H28" s="34"/>
      <c r="I28" s="34"/>
      <c r="J28" s="34"/>
      <c r="K28" s="34"/>
      <c r="L28" s="34"/>
      <c r="M28" s="34"/>
      <c r="N28" s="34"/>
      <c r="P28" s="36" t="s">
        <v>1320</v>
      </c>
      <c r="Q28" t="s">
        <v>1321</v>
      </c>
      <c r="R28" t="s">
        <v>1322</v>
      </c>
      <c r="T28" t="s">
        <v>1322</v>
      </c>
      <c r="U28" t="s">
        <v>2257</v>
      </c>
      <c r="Z28" t="s">
        <v>875</v>
      </c>
      <c r="AB28" s="36" t="s">
        <v>875</v>
      </c>
      <c r="AC28" t="s">
        <v>872</v>
      </c>
      <c r="AF28" t="s">
        <v>1968</v>
      </c>
      <c r="AG28" t="s">
        <v>1969</v>
      </c>
    </row>
    <row r="29" spans="1:33" ht="15" customHeight="1">
      <c r="A29" s="392" t="s">
        <v>1359</v>
      </c>
      <c r="B29" s="393"/>
      <c r="C29" s="400" t="s">
        <v>2616</v>
      </c>
      <c r="D29" s="401"/>
      <c r="E29" s="401"/>
      <c r="F29" s="401"/>
      <c r="G29" s="401"/>
      <c r="H29" s="401"/>
      <c r="I29" s="401"/>
      <c r="J29" s="401"/>
      <c r="K29" s="401"/>
      <c r="L29" s="402"/>
      <c r="M29" s="34"/>
      <c r="N29" s="34"/>
      <c r="P29">
        <v>1</v>
      </c>
      <c r="Q29" t="s">
        <v>992</v>
      </c>
      <c r="R29">
        <v>16</v>
      </c>
      <c r="T29">
        <v>1</v>
      </c>
      <c r="U29" t="s">
        <v>2258</v>
      </c>
      <c r="Z29" s="18" t="s">
        <v>1914</v>
      </c>
      <c r="AB29">
        <v>1</v>
      </c>
      <c r="AC29" t="s">
        <v>840</v>
      </c>
      <c r="AF29">
        <v>11</v>
      </c>
      <c r="AG29" t="s">
        <v>1634</v>
      </c>
    </row>
    <row r="30" spans="1:33" ht="7.5" customHeight="1">
      <c r="A30" s="84"/>
      <c r="B30" s="84"/>
      <c r="C30" s="34"/>
      <c r="D30" s="34"/>
      <c r="E30" s="34"/>
      <c r="F30" s="34"/>
      <c r="G30" s="34"/>
      <c r="H30" s="34"/>
      <c r="I30" s="34"/>
      <c r="J30" s="34"/>
      <c r="K30" s="34"/>
      <c r="L30" s="34"/>
      <c r="M30" s="34"/>
      <c r="N30" s="34"/>
      <c r="P30">
        <v>2</v>
      </c>
      <c r="Q30" t="s">
        <v>995</v>
      </c>
      <c r="R30">
        <v>14</v>
      </c>
      <c r="T30">
        <v>2</v>
      </c>
      <c r="U30" t="s">
        <v>2259</v>
      </c>
      <c r="Z30" s="18" t="s">
        <v>1916</v>
      </c>
      <c r="AB30">
        <v>2</v>
      </c>
      <c r="AC30" t="s">
        <v>841</v>
      </c>
      <c r="AF30">
        <v>12</v>
      </c>
      <c r="AG30" t="s">
        <v>1635</v>
      </c>
    </row>
    <row r="31" spans="1:33" ht="15" customHeight="1">
      <c r="A31" s="392" t="s">
        <v>1360</v>
      </c>
      <c r="B31" s="393"/>
      <c r="C31" s="403" t="s">
        <v>2617</v>
      </c>
      <c r="D31" s="404"/>
      <c r="E31" s="404"/>
      <c r="F31" s="404"/>
      <c r="G31" s="404"/>
      <c r="H31" s="404"/>
      <c r="I31" s="404"/>
      <c r="J31" s="405"/>
      <c r="K31" s="34"/>
      <c r="L31" s="34"/>
      <c r="M31" s="34"/>
      <c r="N31" s="34"/>
      <c r="P31">
        <v>3</v>
      </c>
      <c r="Q31" t="s">
        <v>998</v>
      </c>
      <c r="R31">
        <v>16</v>
      </c>
      <c r="T31">
        <v>3</v>
      </c>
      <c r="U31" t="s">
        <v>2260</v>
      </c>
      <c r="Z31" s="18" t="s">
        <v>1918</v>
      </c>
      <c r="AB31">
        <v>3</v>
      </c>
      <c r="AC31" t="s">
        <v>842</v>
      </c>
      <c r="AF31">
        <v>13</v>
      </c>
      <c r="AG31" t="s">
        <v>1636</v>
      </c>
    </row>
    <row r="32" spans="1:33" ht="7.5" customHeight="1">
      <c r="A32" s="84"/>
      <c r="B32" s="84"/>
      <c r="C32" s="150"/>
      <c r="D32" s="34"/>
      <c r="E32" s="34"/>
      <c r="F32" s="34"/>
      <c r="G32" s="34"/>
      <c r="H32" s="34"/>
      <c r="I32" s="34"/>
      <c r="J32" s="34"/>
      <c r="K32" s="34"/>
      <c r="L32" s="34"/>
      <c r="M32" s="34"/>
      <c r="N32" s="34"/>
      <c r="P32">
        <v>4</v>
      </c>
      <c r="Q32" t="s">
        <v>49</v>
      </c>
      <c r="R32">
        <v>8</v>
      </c>
      <c r="T32">
        <v>4</v>
      </c>
      <c r="U32" t="s">
        <v>2261</v>
      </c>
      <c r="Z32" s="18" t="s">
        <v>1920</v>
      </c>
      <c r="AB32">
        <v>4</v>
      </c>
      <c r="AC32" t="s">
        <v>843</v>
      </c>
      <c r="AF32">
        <v>21</v>
      </c>
      <c r="AG32" t="s">
        <v>1794</v>
      </c>
    </row>
    <row r="33" spans="1:33" ht="15" customHeight="1">
      <c r="A33" s="392" t="s">
        <v>1361</v>
      </c>
      <c r="B33" s="393"/>
      <c r="C33" s="403" t="s">
        <v>2618</v>
      </c>
      <c r="D33" s="404"/>
      <c r="E33" s="404"/>
      <c r="F33" s="404"/>
      <c r="G33" s="404"/>
      <c r="H33" s="404"/>
      <c r="I33" s="404"/>
      <c r="J33" s="405"/>
      <c r="K33" s="34"/>
      <c r="L33" s="84"/>
      <c r="M33" s="84"/>
      <c r="N33" s="84"/>
      <c r="P33">
        <v>5</v>
      </c>
      <c r="Q33" t="s">
        <v>52</v>
      </c>
      <c r="R33">
        <v>18</v>
      </c>
      <c r="T33">
        <v>5</v>
      </c>
      <c r="U33" t="s">
        <v>2262</v>
      </c>
      <c r="Z33" s="18" t="s">
        <v>1922</v>
      </c>
      <c r="AB33">
        <v>5</v>
      </c>
      <c r="AC33" t="s">
        <v>844</v>
      </c>
      <c r="AF33">
        <v>22</v>
      </c>
      <c r="AG33" t="s">
        <v>1795</v>
      </c>
    </row>
    <row r="34" spans="1:33" ht="7.5" customHeight="1">
      <c r="A34" s="84"/>
      <c r="B34" s="84"/>
      <c r="C34" s="150"/>
      <c r="D34" s="34"/>
      <c r="E34" s="34"/>
      <c r="F34" s="34"/>
      <c r="G34" s="34"/>
      <c r="H34" s="34"/>
      <c r="I34" s="34"/>
      <c r="J34" s="34"/>
      <c r="K34" s="34"/>
      <c r="L34" s="34"/>
      <c r="M34" s="34"/>
      <c r="N34" s="34"/>
      <c r="P34">
        <v>6</v>
      </c>
      <c r="Q34" t="s">
        <v>55</v>
      </c>
      <c r="R34">
        <v>18</v>
      </c>
      <c r="T34">
        <v>6</v>
      </c>
      <c r="U34" t="s">
        <v>2263</v>
      </c>
      <c r="Z34" s="18" t="s">
        <v>1924</v>
      </c>
      <c r="AB34">
        <v>6</v>
      </c>
      <c r="AC34" t="s">
        <v>845</v>
      </c>
      <c r="AF34">
        <v>31</v>
      </c>
      <c r="AG34" t="s">
        <v>856</v>
      </c>
    </row>
    <row r="35" spans="1:33" ht="15" customHeight="1">
      <c r="A35" s="392" t="s">
        <v>1363</v>
      </c>
      <c r="B35" s="393"/>
      <c r="C35" s="151">
        <v>133</v>
      </c>
      <c r="D35" s="398" t="str">
        <f>IF(C35&lt;&gt;"",LOOKUP(C35,P29:P584,Q29:Q584),"Nije upisana općina!")</f>
        <v>Zagreb</v>
      </c>
      <c r="E35" s="399"/>
      <c r="F35" s="399"/>
      <c r="G35" s="399"/>
      <c r="H35" s="34"/>
      <c r="I35" s="84"/>
      <c r="J35" s="84"/>
      <c r="K35" s="84"/>
      <c r="L35" s="84"/>
      <c r="M35" s="84"/>
      <c r="N35" s="84"/>
      <c r="P35">
        <v>7</v>
      </c>
      <c r="Q35" t="s">
        <v>58</v>
      </c>
      <c r="R35">
        <v>4</v>
      </c>
      <c r="T35">
        <v>7</v>
      </c>
      <c r="U35" t="s">
        <v>2264</v>
      </c>
      <c r="Z35" s="18" t="s">
        <v>1926</v>
      </c>
      <c r="AB35">
        <v>9</v>
      </c>
      <c r="AC35" t="s">
        <v>846</v>
      </c>
      <c r="AF35">
        <v>41</v>
      </c>
      <c r="AG35" t="s">
        <v>857</v>
      </c>
    </row>
    <row r="36" spans="1:33" ht="7.5" customHeight="1">
      <c r="A36" s="84"/>
      <c r="B36" s="84"/>
      <c r="C36" s="34"/>
      <c r="D36" s="34"/>
      <c r="E36" s="34"/>
      <c r="F36" s="34"/>
      <c r="G36" s="34"/>
      <c r="H36" s="34"/>
      <c r="I36" s="84"/>
      <c r="J36" s="84"/>
      <c r="K36" s="84"/>
      <c r="L36" s="84"/>
      <c r="M36" s="84"/>
      <c r="N36" s="84"/>
      <c r="P36">
        <v>8</v>
      </c>
      <c r="Q36" t="s">
        <v>61</v>
      </c>
      <c r="R36">
        <v>8</v>
      </c>
      <c r="T36">
        <v>8</v>
      </c>
      <c r="U36" t="s">
        <v>2265</v>
      </c>
      <c r="Z36" s="18" t="s">
        <v>1928</v>
      </c>
      <c r="AB36">
        <v>10</v>
      </c>
      <c r="AC36" t="s">
        <v>847</v>
      </c>
      <c r="AF36">
        <v>42</v>
      </c>
      <c r="AG36" t="s">
        <v>858</v>
      </c>
    </row>
    <row r="37" spans="1:29" ht="15" customHeight="1">
      <c r="A37" s="392" t="s">
        <v>1362</v>
      </c>
      <c r="B37" s="393"/>
      <c r="C37" s="152">
        <f>IF(C35&lt;&gt;"",LOOKUP(C35,P29:P584,R29:R584),"")</f>
        <v>21</v>
      </c>
      <c r="D37" s="398" t="str">
        <f>IF(C37&lt;&gt;"",LOOKUP(C37,T29:T49,U29:U49),"")</f>
        <v>GRAD ZAGREB</v>
      </c>
      <c r="E37" s="399"/>
      <c r="F37" s="399"/>
      <c r="G37" s="399"/>
      <c r="H37" s="396" t="s">
        <v>1319</v>
      </c>
      <c r="I37" s="397"/>
      <c r="J37" s="397"/>
      <c r="K37" s="84"/>
      <c r="L37" s="34"/>
      <c r="M37" s="34"/>
      <c r="N37" s="84"/>
      <c r="P37">
        <v>9</v>
      </c>
      <c r="Q37" t="s">
        <v>64</v>
      </c>
      <c r="R37">
        <v>17</v>
      </c>
      <c r="T37">
        <v>9</v>
      </c>
      <c r="U37" t="s">
        <v>2266</v>
      </c>
      <c r="Z37" s="18" t="s">
        <v>1930</v>
      </c>
      <c r="AB37">
        <v>11</v>
      </c>
      <c r="AC37" t="s">
        <v>848</v>
      </c>
    </row>
    <row r="38" spans="1:29" ht="7.5" customHeight="1">
      <c r="A38" s="84"/>
      <c r="B38" s="84"/>
      <c r="C38" s="34"/>
      <c r="D38" s="34"/>
      <c r="E38" s="34"/>
      <c r="F38" s="34"/>
      <c r="G38" s="34"/>
      <c r="H38" s="34"/>
      <c r="I38" s="34"/>
      <c r="J38" s="34"/>
      <c r="K38" s="34"/>
      <c r="L38" s="34"/>
      <c r="M38" s="34"/>
      <c r="N38" s="84"/>
      <c r="P38">
        <v>10</v>
      </c>
      <c r="Q38" t="s">
        <v>67</v>
      </c>
      <c r="R38">
        <v>12</v>
      </c>
      <c r="T38">
        <v>10</v>
      </c>
      <c r="U38" t="s">
        <v>2267</v>
      </c>
      <c r="Z38" s="18" t="s">
        <v>1932</v>
      </c>
      <c r="AB38">
        <v>12</v>
      </c>
      <c r="AC38" t="s">
        <v>849</v>
      </c>
    </row>
    <row r="39" spans="1:29" ht="15" customHeight="1">
      <c r="A39" s="392" t="s">
        <v>1364</v>
      </c>
      <c r="B39" s="393"/>
      <c r="C39" s="153" t="s">
        <v>645</v>
      </c>
      <c r="D39" s="426" t="str">
        <f>IF(C39&lt;&gt;"",LOOKUP(C39,Djel!A5:A619,Djel!B5:B619),"Djelatnost nije upisana!")</f>
        <v>Ostalo novčarsko posredovanje</v>
      </c>
      <c r="E39" s="427"/>
      <c r="F39" s="427"/>
      <c r="G39" s="427"/>
      <c r="H39" s="38" t="str">
        <f>IF(Bilanca!O1+RDG!O1&gt;0,"DA","NE")</f>
        <v>DA</v>
      </c>
      <c r="I39" s="394" t="str">
        <f>IF(C17=32,"Samo bilanca, bez Računa dobiti i gubitka","Bilanca i Račun dobiti i gubitka")</f>
        <v>Bilanca i Račun dobiti i gubitka</v>
      </c>
      <c r="J39" s="394"/>
      <c r="K39" s="394"/>
      <c r="L39" s="394"/>
      <c r="M39" s="394"/>
      <c r="N39" s="395"/>
      <c r="P39">
        <v>11</v>
      </c>
      <c r="Q39" t="s">
        <v>70</v>
      </c>
      <c r="R39">
        <v>2</v>
      </c>
      <c r="T39">
        <v>11</v>
      </c>
      <c r="U39" t="s">
        <v>2268</v>
      </c>
      <c r="Z39" s="18" t="s">
        <v>1934</v>
      </c>
      <c r="AB39">
        <v>13</v>
      </c>
      <c r="AC39" t="s">
        <v>850</v>
      </c>
    </row>
    <row r="40" spans="1:29" ht="7.5" customHeight="1">
      <c r="A40" s="84"/>
      <c r="B40" s="84"/>
      <c r="C40" s="34"/>
      <c r="D40" s="427"/>
      <c r="E40" s="427"/>
      <c r="F40" s="427"/>
      <c r="G40" s="427"/>
      <c r="H40" s="34"/>
      <c r="I40" s="395"/>
      <c r="J40" s="395"/>
      <c r="K40" s="395"/>
      <c r="L40" s="395"/>
      <c r="M40" s="395"/>
      <c r="N40" s="395"/>
      <c r="P40">
        <v>12</v>
      </c>
      <c r="Q40" t="s">
        <v>76</v>
      </c>
      <c r="R40">
        <v>5</v>
      </c>
      <c r="T40">
        <v>12</v>
      </c>
      <c r="U40" t="s">
        <v>2269</v>
      </c>
      <c r="Z40" s="18" t="s">
        <v>1936</v>
      </c>
      <c r="AB40">
        <v>14</v>
      </c>
      <c r="AC40" t="s">
        <v>851</v>
      </c>
    </row>
    <row r="41" spans="1:29" ht="15" customHeight="1">
      <c r="A41" s="392" t="s">
        <v>1365</v>
      </c>
      <c r="B41" s="393"/>
      <c r="C41" s="131" t="s">
        <v>855</v>
      </c>
      <c r="D41" s="427"/>
      <c r="E41" s="427"/>
      <c r="F41" s="427"/>
      <c r="G41" s="427"/>
      <c r="H41" s="38" t="str">
        <f>IF(BanDop!O1&gt;0,"DA","NE")</f>
        <v>NE</v>
      </c>
      <c r="I41" s="394" t="s">
        <v>458</v>
      </c>
      <c r="J41" s="394"/>
      <c r="K41" s="394"/>
      <c r="L41" s="394"/>
      <c r="M41" s="394"/>
      <c r="N41" s="395"/>
      <c r="P41">
        <v>13</v>
      </c>
      <c r="Q41" t="s">
        <v>1716</v>
      </c>
      <c r="R41">
        <v>14</v>
      </c>
      <c r="T41">
        <v>13</v>
      </c>
      <c r="U41" t="s">
        <v>2270</v>
      </c>
      <c r="Z41" s="18" t="s">
        <v>1938</v>
      </c>
      <c r="AB41">
        <v>15</v>
      </c>
      <c r="AC41" t="s">
        <v>852</v>
      </c>
    </row>
    <row r="42" spans="1:29" ht="7.5" customHeight="1">
      <c r="A42" s="84"/>
      <c r="B42" s="84"/>
      <c r="C42" s="150"/>
      <c r="D42" s="34"/>
      <c r="E42" s="34"/>
      <c r="F42" s="34"/>
      <c r="G42" s="34"/>
      <c r="H42" s="34"/>
      <c r="I42" s="395"/>
      <c r="J42" s="395"/>
      <c r="K42" s="395"/>
      <c r="L42" s="395"/>
      <c r="M42" s="395"/>
      <c r="N42" s="395"/>
      <c r="P42">
        <v>15</v>
      </c>
      <c r="Q42" t="s">
        <v>351</v>
      </c>
      <c r="R42">
        <v>20</v>
      </c>
      <c r="T42">
        <v>14</v>
      </c>
      <c r="U42" t="s">
        <v>2271</v>
      </c>
      <c r="Z42" s="18" t="s">
        <v>1940</v>
      </c>
      <c r="AB42">
        <v>99</v>
      </c>
      <c r="AC42" t="s">
        <v>853</v>
      </c>
    </row>
    <row r="43" spans="1:26" ht="15" customHeight="1">
      <c r="A43" s="392" t="s">
        <v>611</v>
      </c>
      <c r="B43" s="393"/>
      <c r="C43" s="131" t="s">
        <v>2619</v>
      </c>
      <c r="D43" s="286" t="s">
        <v>478</v>
      </c>
      <c r="E43" s="428" t="s">
        <v>2626</v>
      </c>
      <c r="F43" s="429"/>
      <c r="G43" s="34"/>
      <c r="H43" s="105" t="s">
        <v>2619</v>
      </c>
      <c r="I43" s="394" t="s">
        <v>636</v>
      </c>
      <c r="J43" s="394"/>
      <c r="K43" s="394"/>
      <c r="L43" s="394"/>
      <c r="M43" s="394"/>
      <c r="N43" s="395"/>
      <c r="P43">
        <v>16</v>
      </c>
      <c r="Q43" t="s">
        <v>2451</v>
      </c>
      <c r="R43">
        <v>14</v>
      </c>
      <c r="T43">
        <v>15</v>
      </c>
      <c r="U43" t="s">
        <v>2272</v>
      </c>
      <c r="Z43" s="18" t="s">
        <v>937</v>
      </c>
    </row>
    <row r="44" spans="1:26" ht="7.5" customHeight="1">
      <c r="A44" s="84"/>
      <c r="B44" s="84"/>
      <c r="C44" s="34"/>
      <c r="D44" s="34"/>
      <c r="E44" s="34"/>
      <c r="F44" s="34"/>
      <c r="G44" s="34"/>
      <c r="H44" s="34"/>
      <c r="I44" s="395"/>
      <c r="J44" s="395"/>
      <c r="K44" s="395"/>
      <c r="L44" s="395"/>
      <c r="M44" s="395"/>
      <c r="N44" s="395"/>
      <c r="P44">
        <v>17</v>
      </c>
      <c r="Q44" t="s">
        <v>2454</v>
      </c>
      <c r="R44">
        <v>13</v>
      </c>
      <c r="T44">
        <v>16</v>
      </c>
      <c r="U44" t="s">
        <v>2273</v>
      </c>
      <c r="Z44" s="18" t="s">
        <v>532</v>
      </c>
    </row>
    <row r="45" spans="1:26" ht="15" customHeight="1">
      <c r="A45" s="392" t="s">
        <v>157</v>
      </c>
      <c r="B45" s="393"/>
      <c r="C45" s="131">
        <v>2</v>
      </c>
      <c r="D45" s="482" t="str">
        <f>IF(C45&lt;&gt;"",LOOKUP(C45,T52:T54,U52:U54),"Svrha predaje još nije odabrana")</f>
        <v>Predaja samo u svrhu javne objave</v>
      </c>
      <c r="E45" s="397"/>
      <c r="F45" s="397"/>
      <c r="G45" s="427"/>
      <c r="H45" s="38" t="str">
        <f>IF(OR(NT_I!O1&gt;0,NT_D!P1&gt;0),"DA","NE")</f>
        <v>DA</v>
      </c>
      <c r="I45" s="394" t="s">
        <v>637</v>
      </c>
      <c r="J45" s="394"/>
      <c r="K45" s="394"/>
      <c r="L45" s="394"/>
      <c r="M45" s="394"/>
      <c r="N45" s="395"/>
      <c r="P45">
        <v>18</v>
      </c>
      <c r="Q45" t="s">
        <v>2457</v>
      </c>
      <c r="R45">
        <v>7</v>
      </c>
      <c r="T45">
        <v>17</v>
      </c>
      <c r="U45" t="s">
        <v>2274</v>
      </c>
      <c r="Z45" s="18" t="s">
        <v>534</v>
      </c>
    </row>
    <row r="46" spans="1:26" ht="7.5" customHeight="1">
      <c r="A46" s="84"/>
      <c r="B46" s="84"/>
      <c r="C46" s="150"/>
      <c r="D46" s="397"/>
      <c r="E46" s="397"/>
      <c r="F46" s="397"/>
      <c r="G46" s="427"/>
      <c r="H46" s="34"/>
      <c r="I46" s="395"/>
      <c r="J46" s="395"/>
      <c r="K46" s="395"/>
      <c r="L46" s="395"/>
      <c r="M46" s="395"/>
      <c r="N46" s="395"/>
      <c r="P46">
        <v>19</v>
      </c>
      <c r="Q46" t="s">
        <v>2460</v>
      </c>
      <c r="R46">
        <v>5</v>
      </c>
      <c r="T46">
        <v>18</v>
      </c>
      <c r="U46" t="s">
        <v>2275</v>
      </c>
      <c r="Z46" s="18" t="s">
        <v>536</v>
      </c>
    </row>
    <row r="47" spans="1:26" ht="15" customHeight="1">
      <c r="A47" s="470" t="s">
        <v>158</v>
      </c>
      <c r="B47" s="471"/>
      <c r="C47" s="267">
        <v>3</v>
      </c>
      <c r="D47" s="406" t="s">
        <v>234</v>
      </c>
      <c r="E47" s="407"/>
      <c r="F47" s="407"/>
      <c r="G47" s="407"/>
      <c r="H47" s="38" t="str">
        <f>IF(PK!O1&gt;0,"DA","NE")</f>
        <v>DA</v>
      </c>
      <c r="I47" s="394" t="s">
        <v>1314</v>
      </c>
      <c r="J47" s="394"/>
      <c r="K47" s="394"/>
      <c r="L47" s="394"/>
      <c r="M47" s="394"/>
      <c r="N47" s="395"/>
      <c r="P47">
        <v>20</v>
      </c>
      <c r="Q47" t="s">
        <v>2463</v>
      </c>
      <c r="R47">
        <v>13</v>
      </c>
      <c r="T47">
        <v>19</v>
      </c>
      <c r="U47" t="s">
        <v>2276</v>
      </c>
      <c r="Z47" s="18" t="s">
        <v>538</v>
      </c>
    </row>
    <row r="48" spans="1:26" ht="7.5" customHeight="1">
      <c r="A48" s="84"/>
      <c r="B48" s="84"/>
      <c r="C48" s="34"/>
      <c r="D48" s="407"/>
      <c r="E48" s="407"/>
      <c r="F48" s="407"/>
      <c r="G48" s="407"/>
      <c r="H48" s="34"/>
      <c r="I48" s="395"/>
      <c r="J48" s="395"/>
      <c r="K48" s="395"/>
      <c r="L48" s="395"/>
      <c r="M48" s="395"/>
      <c r="N48" s="395"/>
      <c r="P48">
        <v>21</v>
      </c>
      <c r="Q48" t="s">
        <v>2469</v>
      </c>
      <c r="R48">
        <v>14</v>
      </c>
      <c r="T48">
        <v>20</v>
      </c>
      <c r="U48" t="s">
        <v>2277</v>
      </c>
      <c r="Z48" s="18" t="s">
        <v>540</v>
      </c>
    </row>
    <row r="49" spans="1:26" ht="15" customHeight="1">
      <c r="A49" s="470" t="s">
        <v>1633</v>
      </c>
      <c r="B49" s="471"/>
      <c r="C49" s="267"/>
      <c r="D49" s="406" t="s">
        <v>235</v>
      </c>
      <c r="E49" s="407"/>
      <c r="F49" s="407"/>
      <c r="G49" s="407"/>
      <c r="H49" s="105" t="s">
        <v>2619</v>
      </c>
      <c r="I49" s="394" t="s">
        <v>1315</v>
      </c>
      <c r="J49" s="394"/>
      <c r="K49" s="394"/>
      <c r="L49" s="394"/>
      <c r="M49" s="394"/>
      <c r="N49" s="395"/>
      <c r="P49">
        <v>22</v>
      </c>
      <c r="Q49" t="s">
        <v>2472</v>
      </c>
      <c r="R49">
        <v>13</v>
      </c>
      <c r="T49">
        <v>21</v>
      </c>
      <c r="U49" t="s">
        <v>2278</v>
      </c>
      <c r="Z49" s="18" t="s">
        <v>542</v>
      </c>
    </row>
    <row r="50" spans="1:26" ht="7.5" customHeight="1">
      <c r="A50" s="84"/>
      <c r="B50" s="84"/>
      <c r="C50" s="34"/>
      <c r="D50" s="407"/>
      <c r="E50" s="407"/>
      <c r="F50" s="407"/>
      <c r="G50" s="407"/>
      <c r="H50" s="34"/>
      <c r="I50" s="395"/>
      <c r="J50" s="395"/>
      <c r="K50" s="395"/>
      <c r="L50" s="395"/>
      <c r="M50" s="395"/>
      <c r="N50" s="395"/>
      <c r="P50">
        <v>23</v>
      </c>
      <c r="Q50" t="s">
        <v>2481</v>
      </c>
      <c r="R50">
        <v>14</v>
      </c>
      <c r="Z50" s="18" t="s">
        <v>544</v>
      </c>
    </row>
    <row r="51" spans="1:26" ht="15" customHeight="1">
      <c r="A51" s="392" t="s">
        <v>159</v>
      </c>
      <c r="B51" s="393"/>
      <c r="C51" s="131">
        <v>100</v>
      </c>
      <c r="D51" s="34"/>
      <c r="E51" s="131">
        <v>0</v>
      </c>
      <c r="F51" s="34"/>
      <c r="G51" s="84"/>
      <c r="H51" s="105" t="s">
        <v>2619</v>
      </c>
      <c r="I51" s="394" t="s">
        <v>1316</v>
      </c>
      <c r="J51" s="394"/>
      <c r="K51" s="394"/>
      <c r="L51" s="394"/>
      <c r="M51" s="394"/>
      <c r="N51" s="395"/>
      <c r="P51">
        <v>24</v>
      </c>
      <c r="Q51" t="s">
        <v>2484</v>
      </c>
      <c r="R51">
        <v>7</v>
      </c>
      <c r="T51" t="s">
        <v>2282</v>
      </c>
      <c r="U51" t="s">
        <v>2283</v>
      </c>
      <c r="Z51" s="18" t="s">
        <v>546</v>
      </c>
    </row>
    <row r="52" spans="1:26" ht="12" customHeight="1">
      <c r="A52" s="84"/>
      <c r="B52" s="84"/>
      <c r="C52" s="150" t="s">
        <v>160</v>
      </c>
      <c r="D52" s="34"/>
      <c r="E52" s="150" t="s">
        <v>161</v>
      </c>
      <c r="F52" s="34"/>
      <c r="G52" s="84"/>
      <c r="H52" s="34"/>
      <c r="I52" s="395"/>
      <c r="J52" s="395"/>
      <c r="K52" s="395"/>
      <c r="L52" s="395"/>
      <c r="M52" s="395"/>
      <c r="N52" s="395"/>
      <c r="P52">
        <v>25</v>
      </c>
      <c r="Q52" t="s">
        <v>2487</v>
      </c>
      <c r="R52">
        <v>19</v>
      </c>
      <c r="T52">
        <v>1</v>
      </c>
      <c r="U52" t="s">
        <v>2279</v>
      </c>
      <c r="Z52" s="18" t="s">
        <v>548</v>
      </c>
    </row>
    <row r="53" spans="1:26" ht="15" customHeight="1">
      <c r="A53" s="472" t="s">
        <v>885</v>
      </c>
      <c r="B53" s="473"/>
      <c r="C53" s="154">
        <v>281</v>
      </c>
      <c r="D53" s="155"/>
      <c r="E53" s="154">
        <v>278</v>
      </c>
      <c r="F53" s="155"/>
      <c r="G53" s="84"/>
      <c r="H53" s="105" t="s">
        <v>2619</v>
      </c>
      <c r="I53" s="394" t="s">
        <v>1317</v>
      </c>
      <c r="J53" s="394"/>
      <c r="K53" s="394"/>
      <c r="L53" s="394"/>
      <c r="M53" s="394"/>
      <c r="N53" s="395"/>
      <c r="P53">
        <v>26</v>
      </c>
      <c r="Q53" t="s">
        <v>2490</v>
      </c>
      <c r="R53">
        <v>16</v>
      </c>
      <c r="T53">
        <v>2</v>
      </c>
      <c r="U53" t="s">
        <v>2280</v>
      </c>
      <c r="Z53" s="18" t="s">
        <v>550</v>
      </c>
    </row>
    <row r="54" spans="1:26" ht="12" customHeight="1">
      <c r="A54" s="474"/>
      <c r="B54" s="474"/>
      <c r="C54" s="423" t="s">
        <v>1366</v>
      </c>
      <c r="D54" s="424"/>
      <c r="E54" s="423" t="s">
        <v>276</v>
      </c>
      <c r="F54" s="424"/>
      <c r="G54" s="84"/>
      <c r="H54" s="34"/>
      <c r="I54" s="395"/>
      <c r="J54" s="395"/>
      <c r="K54" s="395"/>
      <c r="L54" s="395"/>
      <c r="M54" s="395"/>
      <c r="N54" s="395"/>
      <c r="P54">
        <v>27</v>
      </c>
      <c r="Q54" t="s">
        <v>1524</v>
      </c>
      <c r="R54">
        <v>17</v>
      </c>
      <c r="T54">
        <v>3</v>
      </c>
      <c r="U54" t="s">
        <v>2281</v>
      </c>
      <c r="Z54" s="18" t="s">
        <v>485</v>
      </c>
    </row>
    <row r="55" spans="1:26" ht="15" customHeight="1">
      <c r="A55" s="475" t="s">
        <v>886</v>
      </c>
      <c r="B55" s="476"/>
      <c r="C55" s="154">
        <v>265</v>
      </c>
      <c r="D55" s="155"/>
      <c r="E55" s="158">
        <v>263</v>
      </c>
      <c r="F55" s="155"/>
      <c r="G55" s="84"/>
      <c r="H55" s="105" t="s">
        <v>2619</v>
      </c>
      <c r="I55" s="394" t="s">
        <v>1318</v>
      </c>
      <c r="J55" s="394"/>
      <c r="K55" s="394"/>
      <c r="L55" s="394"/>
      <c r="M55" s="394"/>
      <c r="N55" s="395"/>
      <c r="P55">
        <v>29</v>
      </c>
      <c r="Q55" t="s">
        <v>1527</v>
      </c>
      <c r="R55">
        <v>16</v>
      </c>
      <c r="Z55" s="18" t="s">
        <v>487</v>
      </c>
    </row>
    <row r="56" spans="1:26" ht="12" customHeight="1">
      <c r="A56" s="475"/>
      <c r="B56" s="475"/>
      <c r="C56" s="423" t="s">
        <v>1366</v>
      </c>
      <c r="D56" s="424"/>
      <c r="E56" s="425" t="s">
        <v>276</v>
      </c>
      <c r="F56" s="424"/>
      <c r="G56" s="84"/>
      <c r="H56" s="34"/>
      <c r="I56" s="394"/>
      <c r="J56" s="394"/>
      <c r="K56" s="394"/>
      <c r="L56" s="394"/>
      <c r="M56" s="394"/>
      <c r="N56" s="395"/>
      <c r="P56">
        <v>30</v>
      </c>
      <c r="Q56" t="s">
        <v>1530</v>
      </c>
      <c r="R56">
        <v>4</v>
      </c>
      <c r="T56" t="s">
        <v>2284</v>
      </c>
      <c r="U56" t="s">
        <v>2285</v>
      </c>
      <c r="Z56" s="18" t="s">
        <v>80</v>
      </c>
    </row>
    <row r="57" spans="1:26" ht="15" customHeight="1">
      <c r="A57" s="451" t="s">
        <v>1214</v>
      </c>
      <c r="B57" s="452"/>
      <c r="C57" s="154">
        <v>12</v>
      </c>
      <c r="D57" s="34"/>
      <c r="E57" s="154">
        <v>12</v>
      </c>
      <c r="F57" s="34"/>
      <c r="G57" s="84"/>
      <c r="H57" s="34"/>
      <c r="I57" s="34"/>
      <c r="J57" s="34"/>
      <c r="K57" s="34"/>
      <c r="L57" s="34"/>
      <c r="M57" s="34"/>
      <c r="N57" s="34"/>
      <c r="P57">
        <v>32</v>
      </c>
      <c r="Q57" t="s">
        <v>1533</v>
      </c>
      <c r="R57">
        <v>16</v>
      </c>
      <c r="T57">
        <v>1</v>
      </c>
      <c r="U57" t="s">
        <v>2192</v>
      </c>
      <c r="Z57" s="18" t="s">
        <v>82</v>
      </c>
    </row>
    <row r="58" spans="1:26" ht="19.5" customHeight="1">
      <c r="A58" s="84"/>
      <c r="B58" s="84"/>
      <c r="C58" s="157" t="s">
        <v>1366</v>
      </c>
      <c r="D58" s="34"/>
      <c r="E58" s="150" t="s">
        <v>276</v>
      </c>
      <c r="F58" s="34"/>
      <c r="G58" s="84"/>
      <c r="H58" s="34"/>
      <c r="I58" s="34"/>
      <c r="J58" s="34"/>
      <c r="K58" s="34"/>
      <c r="L58" s="34"/>
      <c r="M58" s="34"/>
      <c r="N58" s="34"/>
      <c r="P58">
        <v>33</v>
      </c>
      <c r="Q58" t="s">
        <v>1536</v>
      </c>
      <c r="R58">
        <v>1</v>
      </c>
      <c r="T58">
        <v>2</v>
      </c>
      <c r="U58" t="s">
        <v>2193</v>
      </c>
      <c r="Z58" s="18" t="s">
        <v>84</v>
      </c>
    </row>
    <row r="59" spans="1:26" ht="15" customHeight="1">
      <c r="A59" s="444" t="s">
        <v>162</v>
      </c>
      <c r="B59" s="445"/>
      <c r="C59" s="445"/>
      <c r="D59" s="445"/>
      <c r="E59" s="445"/>
      <c r="F59" s="446"/>
      <c r="G59" s="436"/>
      <c r="H59" s="438"/>
      <c r="I59" s="84"/>
      <c r="J59" s="436"/>
      <c r="K59" s="437"/>
      <c r="L59" s="84"/>
      <c r="M59" s="436"/>
      <c r="N59" s="438"/>
      <c r="P59">
        <v>34</v>
      </c>
      <c r="Q59" t="s">
        <v>1539</v>
      </c>
      <c r="R59">
        <v>1</v>
      </c>
      <c r="T59">
        <v>3</v>
      </c>
      <c r="U59" t="s">
        <v>2194</v>
      </c>
      <c r="Z59" s="18" t="s">
        <v>86</v>
      </c>
    </row>
    <row r="60" spans="1:26" ht="7.5" customHeight="1">
      <c r="A60" s="156"/>
      <c r="B60" s="156"/>
      <c r="C60" s="84"/>
      <c r="D60" s="84"/>
      <c r="E60" s="84"/>
      <c r="F60" s="84"/>
      <c r="G60" s="455"/>
      <c r="H60" s="441"/>
      <c r="I60" s="84"/>
      <c r="J60" s="84"/>
      <c r="K60" s="159"/>
      <c r="L60" s="84"/>
      <c r="M60" s="455"/>
      <c r="N60" s="441"/>
      <c r="P60">
        <v>35</v>
      </c>
      <c r="Q60" t="s">
        <v>1545</v>
      </c>
      <c r="R60">
        <v>11</v>
      </c>
      <c r="Z60" s="18" t="s">
        <v>88</v>
      </c>
    </row>
    <row r="61" spans="1:26" ht="15" customHeight="1">
      <c r="A61" s="447" t="s">
        <v>605</v>
      </c>
      <c r="B61" s="447"/>
      <c r="C61" s="447"/>
      <c r="D61" s="447"/>
      <c r="E61" s="447"/>
      <c r="F61" s="448"/>
      <c r="G61" s="436"/>
      <c r="H61" s="438"/>
      <c r="I61" s="160"/>
      <c r="J61" s="436"/>
      <c r="K61" s="437"/>
      <c r="L61" s="160"/>
      <c r="M61" s="436"/>
      <c r="N61" s="438"/>
      <c r="P61">
        <v>36</v>
      </c>
      <c r="Q61" t="s">
        <v>1548</v>
      </c>
      <c r="R61">
        <v>5</v>
      </c>
      <c r="Z61" s="18" t="s">
        <v>90</v>
      </c>
    </row>
    <row r="62" spans="1:26" ht="19.5" customHeight="1">
      <c r="A62" s="161"/>
      <c r="B62" s="161"/>
      <c r="C62" s="434"/>
      <c r="D62" s="435"/>
      <c r="E62" s="34"/>
      <c r="F62" s="434"/>
      <c r="G62" s="441"/>
      <c r="H62" s="162"/>
      <c r="I62" s="34"/>
      <c r="J62" s="34"/>
      <c r="K62" s="34"/>
      <c r="L62" s="34"/>
      <c r="M62" s="162"/>
      <c r="N62" s="162"/>
      <c r="P62">
        <v>37</v>
      </c>
      <c r="Q62" t="s">
        <v>1325</v>
      </c>
      <c r="R62">
        <v>9</v>
      </c>
      <c r="Z62" s="18" t="s">
        <v>92</v>
      </c>
    </row>
    <row r="63" spans="1:26" ht="15" customHeight="1">
      <c r="A63" s="442" t="s">
        <v>606</v>
      </c>
      <c r="B63" s="443"/>
      <c r="C63" s="439"/>
      <c r="D63" s="440"/>
      <c r="E63" s="268"/>
      <c r="F63" s="477"/>
      <c r="G63" s="478"/>
      <c r="H63" s="478"/>
      <c r="I63" s="478"/>
      <c r="J63" s="478"/>
      <c r="K63" s="478"/>
      <c r="L63" s="478"/>
      <c r="M63" s="478"/>
      <c r="N63" s="479"/>
      <c r="P63">
        <v>38</v>
      </c>
      <c r="Q63" t="s">
        <v>1328</v>
      </c>
      <c r="R63">
        <v>8</v>
      </c>
      <c r="Z63" s="18" t="s">
        <v>94</v>
      </c>
    </row>
    <row r="64" spans="1:26" ht="7.5" customHeight="1">
      <c r="A64" s="161"/>
      <c r="B64" s="161"/>
      <c r="C64" s="434"/>
      <c r="D64" s="435"/>
      <c r="E64" s="34"/>
      <c r="F64" s="434"/>
      <c r="G64" s="435"/>
      <c r="H64" s="34"/>
      <c r="I64" s="34"/>
      <c r="J64" s="34"/>
      <c r="K64" s="34"/>
      <c r="L64" s="34"/>
      <c r="M64" s="34"/>
      <c r="N64" s="34"/>
      <c r="P64">
        <v>39</v>
      </c>
      <c r="Q64" t="s">
        <v>1331</v>
      </c>
      <c r="R64">
        <v>12</v>
      </c>
      <c r="Z64" s="18" t="s">
        <v>96</v>
      </c>
    </row>
    <row r="65" spans="1:26" ht="15" customHeight="1">
      <c r="A65" s="451" t="s">
        <v>1215</v>
      </c>
      <c r="B65" s="452"/>
      <c r="C65" s="400" t="s">
        <v>2620</v>
      </c>
      <c r="D65" s="401"/>
      <c r="E65" s="401"/>
      <c r="F65" s="401"/>
      <c r="G65" s="401"/>
      <c r="H65" s="401"/>
      <c r="I65" s="401"/>
      <c r="J65" s="402"/>
      <c r="K65" s="84"/>
      <c r="L65" s="84"/>
      <c r="M65" s="84"/>
      <c r="N65" s="163" t="str">
        <f>"Verzija Excel datoteke: "&amp;MID(Skriveni!B4,1,1)&amp;"."&amp;MID(Skriveni!B4,2,1)&amp;"."&amp;MID(Skriveni!B4,3,1)&amp;"."</f>
        <v>Verzija Excel datoteke: 1.0.6.</v>
      </c>
      <c r="P65">
        <v>40</v>
      </c>
      <c r="Q65" t="s">
        <v>1334</v>
      </c>
      <c r="R65">
        <v>18</v>
      </c>
      <c r="Z65" s="18" t="s">
        <v>2163</v>
      </c>
    </row>
    <row r="66" spans="1:26" ht="12" customHeight="1">
      <c r="A66" s="84"/>
      <c r="B66" s="84"/>
      <c r="C66" s="164" t="s">
        <v>1216</v>
      </c>
      <c r="D66" s="84"/>
      <c r="E66" s="84"/>
      <c r="F66" s="84"/>
      <c r="G66" s="84"/>
      <c r="H66" s="84"/>
      <c r="I66" s="84"/>
      <c r="J66" s="84"/>
      <c r="K66" s="84"/>
      <c r="L66" s="84"/>
      <c r="M66" s="84"/>
      <c r="N66" s="34"/>
      <c r="P66">
        <v>41</v>
      </c>
      <c r="Q66" t="s">
        <v>1648</v>
      </c>
      <c r="R66">
        <v>2</v>
      </c>
      <c r="Z66" s="18" t="s">
        <v>2165</v>
      </c>
    </row>
    <row r="67" spans="1:26" ht="15" customHeight="1">
      <c r="A67" s="451" t="s">
        <v>1217</v>
      </c>
      <c r="B67" s="452"/>
      <c r="C67" s="431" t="s">
        <v>2621</v>
      </c>
      <c r="D67" s="432"/>
      <c r="E67" s="433"/>
      <c r="F67" s="84"/>
      <c r="G67" s="147" t="s">
        <v>1218</v>
      </c>
      <c r="H67" s="431" t="s">
        <v>2622</v>
      </c>
      <c r="I67" s="432"/>
      <c r="J67" s="433"/>
      <c r="K67" s="84"/>
      <c r="L67" s="84"/>
      <c r="M67" s="84"/>
      <c r="N67" s="34"/>
      <c r="P67">
        <v>42</v>
      </c>
      <c r="Q67" t="s">
        <v>1651</v>
      </c>
      <c r="R67">
        <v>18</v>
      </c>
      <c r="Z67" s="18" t="s">
        <v>2167</v>
      </c>
    </row>
    <row r="68" spans="1:26" ht="7.5" customHeight="1">
      <c r="A68" s="84"/>
      <c r="B68" s="84"/>
      <c r="C68" s="164"/>
      <c r="D68" s="84"/>
      <c r="E68" s="84"/>
      <c r="F68" s="84"/>
      <c r="G68" s="84"/>
      <c r="H68" s="84"/>
      <c r="I68" s="84"/>
      <c r="J68" s="84"/>
      <c r="K68" s="84"/>
      <c r="L68" s="84"/>
      <c r="M68" s="84"/>
      <c r="N68" s="34"/>
      <c r="P68">
        <v>43</v>
      </c>
      <c r="Q68" t="s">
        <v>1657</v>
      </c>
      <c r="R68">
        <v>18</v>
      </c>
      <c r="Z68" s="18" t="s">
        <v>1553</v>
      </c>
    </row>
    <row r="69" spans="1:26" ht="15" customHeight="1">
      <c r="A69" s="451" t="s">
        <v>1360</v>
      </c>
      <c r="B69" s="452"/>
      <c r="C69" s="403" t="s">
        <v>2617</v>
      </c>
      <c r="D69" s="404"/>
      <c r="E69" s="404"/>
      <c r="F69" s="404"/>
      <c r="G69" s="404"/>
      <c r="H69" s="404"/>
      <c r="I69" s="404"/>
      <c r="J69" s="405"/>
      <c r="K69" s="84"/>
      <c r="L69" s="84"/>
      <c r="M69" s="84"/>
      <c r="N69" s="34"/>
      <c r="P69">
        <v>44</v>
      </c>
      <c r="Q69" t="s">
        <v>1660</v>
      </c>
      <c r="R69">
        <v>16</v>
      </c>
      <c r="Z69" s="18" t="s">
        <v>1555</v>
      </c>
    </row>
    <row r="70" spans="1:26" ht="12" customHeight="1">
      <c r="A70" s="84"/>
      <c r="B70" s="84"/>
      <c r="C70" s="84"/>
      <c r="D70" s="84"/>
      <c r="E70" s="84"/>
      <c r="F70" s="84"/>
      <c r="G70" s="84"/>
      <c r="H70" s="84"/>
      <c r="I70" s="84"/>
      <c r="J70" s="84"/>
      <c r="K70" s="84"/>
      <c r="L70" s="84"/>
      <c r="M70" s="84"/>
      <c r="N70" s="34"/>
      <c r="P70">
        <v>46</v>
      </c>
      <c r="Q70" t="s">
        <v>1198</v>
      </c>
      <c r="R70">
        <v>12</v>
      </c>
      <c r="Z70" s="18" t="s">
        <v>123</v>
      </c>
    </row>
    <row r="71" spans="1:26" ht="15" customHeight="1">
      <c r="A71" s="392" t="s">
        <v>264</v>
      </c>
      <c r="B71" s="430"/>
      <c r="C71" s="431" t="s">
        <v>2625</v>
      </c>
      <c r="D71" s="432"/>
      <c r="E71" s="432"/>
      <c r="F71" s="432"/>
      <c r="G71" s="432"/>
      <c r="H71" s="433"/>
      <c r="I71" s="84"/>
      <c r="J71" s="165"/>
      <c r="K71" s="165"/>
      <c r="L71" s="165"/>
      <c r="M71" s="165"/>
      <c r="N71" s="165"/>
      <c r="P71">
        <v>47</v>
      </c>
      <c r="Q71" t="s">
        <v>2532</v>
      </c>
      <c r="R71">
        <v>18</v>
      </c>
      <c r="Z71" s="18" t="s">
        <v>125</v>
      </c>
    </row>
    <row r="72" spans="1:26" ht="12" customHeight="1">
      <c r="A72" s="166"/>
      <c r="B72" s="166"/>
      <c r="C72" s="453" t="s">
        <v>2288</v>
      </c>
      <c r="D72" s="454"/>
      <c r="E72" s="454"/>
      <c r="F72" s="454"/>
      <c r="G72" s="454"/>
      <c r="H72" s="454"/>
      <c r="I72" s="84"/>
      <c r="J72" s="167"/>
      <c r="K72" s="167"/>
      <c r="L72" s="167"/>
      <c r="M72" s="168"/>
      <c r="N72" s="168"/>
      <c r="P72">
        <v>48</v>
      </c>
      <c r="Q72" t="s">
        <v>2535</v>
      </c>
      <c r="R72">
        <v>5</v>
      </c>
      <c r="Z72" s="18" t="s">
        <v>127</v>
      </c>
    </row>
    <row r="73" spans="1:26" ht="49.5" customHeight="1" thickBot="1">
      <c r="A73" s="169">
        <f>IF(Kont!M1&gt;0,"Obrazac još uvijek sadrži neke pogreške! Ako ste završili s popunjavanjem, provjerite radni list Kont. Broj pogreški: "&amp;Kont!M1,"")</f>
      </c>
      <c r="B73" s="84"/>
      <c r="C73" s="84"/>
      <c r="D73" s="84"/>
      <c r="E73" s="84"/>
      <c r="F73" s="84"/>
      <c r="G73" s="84"/>
      <c r="H73" s="84"/>
      <c r="I73" s="84"/>
      <c r="J73" s="84"/>
      <c r="K73" s="84"/>
      <c r="L73" s="84"/>
      <c r="M73" s="84"/>
      <c r="N73" s="34"/>
      <c r="P73">
        <v>49</v>
      </c>
      <c r="Q73" t="s">
        <v>2538</v>
      </c>
      <c r="R73">
        <v>4</v>
      </c>
      <c r="Z73" s="18" t="s">
        <v>129</v>
      </c>
    </row>
    <row r="74" spans="1:26" ht="12.75" customHeight="1">
      <c r="A74" s="84"/>
      <c r="B74" s="84"/>
      <c r="C74" s="84"/>
      <c r="D74" s="84"/>
      <c r="E74" s="84"/>
      <c r="F74" s="84"/>
      <c r="G74" s="166" t="s">
        <v>1220</v>
      </c>
      <c r="H74" s="449" t="s">
        <v>1222</v>
      </c>
      <c r="I74" s="450"/>
      <c r="J74" s="450"/>
      <c r="K74" s="450"/>
      <c r="L74" s="450"/>
      <c r="M74" s="84"/>
      <c r="N74" s="34"/>
      <c r="P74">
        <v>50</v>
      </c>
      <c r="Q74" t="s">
        <v>2541</v>
      </c>
      <c r="R74">
        <v>17</v>
      </c>
      <c r="Z74" s="18" t="s">
        <v>131</v>
      </c>
    </row>
    <row r="75" spans="16:26" ht="4.5" customHeight="1">
      <c r="P75">
        <v>51</v>
      </c>
      <c r="Q75" t="s">
        <v>2544</v>
      </c>
      <c r="R75">
        <v>15</v>
      </c>
      <c r="Z75" s="18" t="s">
        <v>133</v>
      </c>
    </row>
    <row r="76" spans="16:26" ht="12.75" hidden="1">
      <c r="P76">
        <v>52</v>
      </c>
      <c r="Q76" t="s">
        <v>2547</v>
      </c>
      <c r="R76">
        <v>8</v>
      </c>
      <c r="Z76" s="18" t="s">
        <v>135</v>
      </c>
    </row>
    <row r="77" spans="16:26" ht="12.75" hidden="1">
      <c r="P77">
        <v>53</v>
      </c>
      <c r="Q77" t="s">
        <v>2550</v>
      </c>
      <c r="R77">
        <v>8</v>
      </c>
      <c r="Z77" s="18" t="s">
        <v>137</v>
      </c>
    </row>
    <row r="78" spans="16:26" ht="12.75" hidden="1">
      <c r="P78">
        <v>54</v>
      </c>
      <c r="Q78" t="s">
        <v>2553</v>
      </c>
      <c r="R78">
        <v>10</v>
      </c>
      <c r="Z78" s="18" t="s">
        <v>1097</v>
      </c>
    </row>
    <row r="79" spans="16:26" ht="12.75" hidden="1">
      <c r="P79">
        <v>55</v>
      </c>
      <c r="Q79" t="s">
        <v>2556</v>
      </c>
      <c r="R79">
        <v>8</v>
      </c>
      <c r="Z79" s="18" t="s">
        <v>1099</v>
      </c>
    </row>
    <row r="80" spans="16:26" ht="12.75" hidden="1">
      <c r="P80">
        <v>56</v>
      </c>
      <c r="Q80" t="s">
        <v>2559</v>
      </c>
      <c r="R80">
        <v>10</v>
      </c>
      <c r="Z80" s="18" t="s">
        <v>1101</v>
      </c>
    </row>
    <row r="81" spans="16:26" ht="12.75" hidden="1">
      <c r="P81">
        <v>57</v>
      </c>
      <c r="Q81" t="s">
        <v>2562</v>
      </c>
      <c r="R81">
        <v>10</v>
      </c>
      <c r="Z81" s="18" t="s">
        <v>1103</v>
      </c>
    </row>
    <row r="82" spans="16:26" ht="12.75" hidden="1">
      <c r="P82">
        <v>58</v>
      </c>
      <c r="Q82" t="s">
        <v>2565</v>
      </c>
      <c r="R82">
        <v>11</v>
      </c>
      <c r="Z82" s="18" t="s">
        <v>1105</v>
      </c>
    </row>
    <row r="83" spans="16:26" ht="12.75" hidden="1">
      <c r="P83">
        <v>60</v>
      </c>
      <c r="Q83" t="s">
        <v>2568</v>
      </c>
      <c r="R83">
        <v>20</v>
      </c>
      <c r="Z83" s="18" t="s">
        <v>1107</v>
      </c>
    </row>
    <row r="84" spans="16:26" ht="12.75" hidden="1">
      <c r="P84">
        <v>61</v>
      </c>
      <c r="Q84" t="s">
        <v>2571</v>
      </c>
      <c r="R84">
        <v>8</v>
      </c>
      <c r="Z84" s="18" t="s">
        <v>2378</v>
      </c>
    </row>
    <row r="85" spans="16:26" ht="12.75" hidden="1">
      <c r="P85">
        <v>63</v>
      </c>
      <c r="Q85" t="s">
        <v>2574</v>
      </c>
      <c r="R85">
        <v>7</v>
      </c>
      <c r="Z85" s="18" t="s">
        <v>2380</v>
      </c>
    </row>
    <row r="86" spans="16:26" ht="12.75" hidden="1">
      <c r="P86">
        <v>64</v>
      </c>
      <c r="Q86" t="s">
        <v>2577</v>
      </c>
      <c r="R86">
        <v>14</v>
      </c>
      <c r="Z86" s="18" t="s">
        <v>2382</v>
      </c>
    </row>
    <row r="87" spans="16:26" ht="12.75" hidden="1">
      <c r="P87">
        <v>65</v>
      </c>
      <c r="Q87" t="s">
        <v>2580</v>
      </c>
      <c r="R87">
        <v>14</v>
      </c>
      <c r="Z87" s="18" t="s">
        <v>2384</v>
      </c>
    </row>
    <row r="88" spans="16:26" ht="12.75" hidden="1">
      <c r="P88">
        <v>66</v>
      </c>
      <c r="Q88" t="s">
        <v>2583</v>
      </c>
      <c r="R88">
        <v>14</v>
      </c>
      <c r="Z88" s="18" t="s">
        <v>2386</v>
      </c>
    </row>
    <row r="89" spans="16:26" ht="12.75" hidden="1">
      <c r="P89">
        <v>67</v>
      </c>
      <c r="Q89" t="s">
        <v>2586</v>
      </c>
      <c r="R89">
        <v>7</v>
      </c>
      <c r="Z89" s="18" t="s">
        <v>2388</v>
      </c>
    </row>
    <row r="90" spans="16:26" ht="12.75" hidden="1">
      <c r="P90">
        <v>68</v>
      </c>
      <c r="Q90" t="s">
        <v>2589</v>
      </c>
      <c r="R90">
        <v>12</v>
      </c>
      <c r="Z90" s="18" t="s">
        <v>2390</v>
      </c>
    </row>
    <row r="91" spans="16:26" ht="12.75" hidden="1">
      <c r="P91">
        <v>69</v>
      </c>
      <c r="Q91" t="s">
        <v>2595</v>
      </c>
      <c r="R91">
        <v>8</v>
      </c>
      <c r="Z91" s="18" t="s">
        <v>2392</v>
      </c>
    </row>
    <row r="92" spans="16:26" ht="12.75" hidden="1">
      <c r="P92">
        <v>70</v>
      </c>
      <c r="Q92" t="s">
        <v>2598</v>
      </c>
      <c r="R92">
        <v>2</v>
      </c>
      <c r="Z92" s="18" t="s">
        <v>2394</v>
      </c>
    </row>
    <row r="93" spans="16:26" ht="12.75" hidden="1">
      <c r="P93">
        <v>71</v>
      </c>
      <c r="Q93" t="s">
        <v>99</v>
      </c>
      <c r="R93">
        <v>7</v>
      </c>
      <c r="Z93" s="18" t="s">
        <v>2396</v>
      </c>
    </row>
    <row r="94" spans="16:26" ht="12.75" hidden="1">
      <c r="P94">
        <v>72</v>
      </c>
      <c r="Q94" t="s">
        <v>102</v>
      </c>
      <c r="R94">
        <v>17</v>
      </c>
      <c r="Z94" s="18" t="s">
        <v>2398</v>
      </c>
    </row>
    <row r="95" spans="16:26" ht="12.75" hidden="1">
      <c r="P95">
        <v>74</v>
      </c>
      <c r="Q95" t="s">
        <v>105</v>
      </c>
      <c r="R95">
        <v>8</v>
      </c>
      <c r="Z95" s="18" t="s">
        <v>2400</v>
      </c>
    </row>
    <row r="96" spans="16:26" ht="12.75" hidden="1">
      <c r="P96">
        <v>75</v>
      </c>
      <c r="Q96" t="s">
        <v>108</v>
      </c>
      <c r="R96">
        <v>20</v>
      </c>
      <c r="Z96" s="18" t="s">
        <v>1980</v>
      </c>
    </row>
    <row r="97" spans="16:26" ht="12.75" hidden="1">
      <c r="P97">
        <v>77</v>
      </c>
      <c r="Q97" t="s">
        <v>1542</v>
      </c>
      <c r="R97">
        <v>17</v>
      </c>
      <c r="Z97" s="18" t="s">
        <v>1982</v>
      </c>
    </row>
    <row r="98" spans="16:26" ht="12.75" hidden="1">
      <c r="P98">
        <v>78</v>
      </c>
      <c r="Q98" t="s">
        <v>111</v>
      </c>
      <c r="R98">
        <v>20</v>
      </c>
      <c r="Z98" s="18" t="s">
        <v>1338</v>
      </c>
    </row>
    <row r="99" spans="16:26" ht="12.75" hidden="1">
      <c r="P99">
        <v>79</v>
      </c>
      <c r="Q99" t="s">
        <v>117</v>
      </c>
      <c r="R99">
        <v>2</v>
      </c>
      <c r="Z99" s="18" t="s">
        <v>1340</v>
      </c>
    </row>
    <row r="100" spans="16:26" ht="12.75" hidden="1">
      <c r="P100">
        <v>80</v>
      </c>
      <c r="Q100" t="s">
        <v>120</v>
      </c>
      <c r="R100">
        <v>5</v>
      </c>
      <c r="Z100" s="18" t="s">
        <v>1342</v>
      </c>
    </row>
    <row r="101" spans="16:26" ht="12.75" hidden="1">
      <c r="P101">
        <v>81</v>
      </c>
      <c r="Q101" t="s">
        <v>1351</v>
      </c>
      <c r="R101">
        <v>12</v>
      </c>
      <c r="Z101" s="18" t="s">
        <v>1344</v>
      </c>
    </row>
    <row r="102" spans="16:26" ht="12.75" hidden="1">
      <c r="P102">
        <v>82</v>
      </c>
      <c r="Q102" t="s">
        <v>1354</v>
      </c>
      <c r="R102">
        <v>20</v>
      </c>
      <c r="Z102" s="18" t="s">
        <v>1346</v>
      </c>
    </row>
    <row r="103" spans="16:26" ht="12.75" hidden="1">
      <c r="P103">
        <v>83</v>
      </c>
      <c r="Q103" t="s">
        <v>1357</v>
      </c>
      <c r="R103">
        <v>3</v>
      </c>
      <c r="Z103" s="18" t="s">
        <v>1348</v>
      </c>
    </row>
    <row r="104" spans="16:26" ht="12.75" hidden="1">
      <c r="P104">
        <v>84</v>
      </c>
      <c r="Q104" t="s">
        <v>1054</v>
      </c>
      <c r="R104">
        <v>9</v>
      </c>
      <c r="Z104" s="18" t="s">
        <v>17</v>
      </c>
    </row>
    <row r="105" spans="16:26" ht="12.75" hidden="1">
      <c r="P105">
        <v>85</v>
      </c>
      <c r="Q105" t="s">
        <v>1057</v>
      </c>
      <c r="R105">
        <v>5</v>
      </c>
      <c r="Z105" s="18" t="s">
        <v>19</v>
      </c>
    </row>
    <row r="106" spans="16:26" ht="12.75" hidden="1">
      <c r="P106">
        <v>86</v>
      </c>
      <c r="Q106" t="s">
        <v>1060</v>
      </c>
      <c r="R106">
        <v>14</v>
      </c>
      <c r="Z106" s="18" t="s">
        <v>21</v>
      </c>
    </row>
    <row r="107" spans="16:26" ht="12.75" hidden="1">
      <c r="P107">
        <v>87</v>
      </c>
      <c r="Q107" t="s">
        <v>1082</v>
      </c>
      <c r="R107">
        <v>17</v>
      </c>
      <c r="Z107" s="18" t="s">
        <v>23</v>
      </c>
    </row>
    <row r="108" spans="16:26" ht="12.75" hidden="1">
      <c r="P108">
        <v>88</v>
      </c>
      <c r="Q108" t="s">
        <v>994</v>
      </c>
      <c r="R108">
        <v>17</v>
      </c>
      <c r="Z108" s="18" t="s">
        <v>25</v>
      </c>
    </row>
    <row r="109" spans="16:26" ht="12.75" hidden="1">
      <c r="P109">
        <v>89</v>
      </c>
      <c r="Q109" t="s">
        <v>1063</v>
      </c>
      <c r="R109">
        <v>20</v>
      </c>
      <c r="Z109" s="18" t="s">
        <v>1808</v>
      </c>
    </row>
    <row r="110" spans="16:26" ht="12.75" hidden="1">
      <c r="P110">
        <v>90</v>
      </c>
      <c r="Q110" t="s">
        <v>1069</v>
      </c>
      <c r="R110">
        <v>4</v>
      </c>
      <c r="Z110" s="18" t="s">
        <v>1810</v>
      </c>
    </row>
    <row r="111" spans="16:26" ht="12.75" hidden="1">
      <c r="P111">
        <v>91</v>
      </c>
      <c r="Q111" t="s">
        <v>1072</v>
      </c>
      <c r="R111">
        <v>14</v>
      </c>
      <c r="Z111" s="18" t="s">
        <v>1812</v>
      </c>
    </row>
    <row r="112" spans="16:26" ht="12.75" hidden="1">
      <c r="P112">
        <v>92</v>
      </c>
      <c r="Q112" t="s">
        <v>1075</v>
      </c>
      <c r="R112">
        <v>16</v>
      </c>
      <c r="Z112" s="18" t="s">
        <v>1814</v>
      </c>
    </row>
    <row r="113" spans="16:26" ht="12.75" hidden="1">
      <c r="P113">
        <v>94</v>
      </c>
      <c r="Q113" t="s">
        <v>1078</v>
      </c>
      <c r="R113">
        <v>14</v>
      </c>
      <c r="Z113" s="18" t="s">
        <v>1816</v>
      </c>
    </row>
    <row r="114" spans="16:26" ht="12.75" hidden="1">
      <c r="P114">
        <v>95</v>
      </c>
      <c r="Q114" t="s">
        <v>1081</v>
      </c>
      <c r="R114">
        <v>15</v>
      </c>
      <c r="Z114" s="18" t="s">
        <v>1818</v>
      </c>
    </row>
    <row r="115" spans="16:26" ht="12.75" hidden="1">
      <c r="P115">
        <v>96</v>
      </c>
      <c r="Q115" t="s">
        <v>1084</v>
      </c>
      <c r="R115">
        <v>6</v>
      </c>
      <c r="Z115" s="18" t="s">
        <v>1820</v>
      </c>
    </row>
    <row r="116" spans="16:26" ht="12.75" hidden="1">
      <c r="P116">
        <v>97</v>
      </c>
      <c r="Q116" t="s">
        <v>1087</v>
      </c>
      <c r="R116">
        <v>1</v>
      </c>
      <c r="Z116" s="18" t="s">
        <v>2065</v>
      </c>
    </row>
    <row r="117" spans="16:26" ht="12.75" hidden="1">
      <c r="P117">
        <v>98</v>
      </c>
      <c r="Q117" t="s">
        <v>1280</v>
      </c>
      <c r="R117">
        <v>19</v>
      </c>
      <c r="Z117" s="18" t="s">
        <v>2067</v>
      </c>
    </row>
    <row r="118" spans="16:26" ht="12.75" hidden="1">
      <c r="P118">
        <v>99</v>
      </c>
      <c r="Q118" t="s">
        <v>1283</v>
      </c>
      <c r="R118">
        <v>4</v>
      </c>
      <c r="Z118" s="18" t="s">
        <v>2069</v>
      </c>
    </row>
    <row r="119" spans="16:26" ht="12.75" hidden="1">
      <c r="P119">
        <v>100</v>
      </c>
      <c r="Q119" t="s">
        <v>1286</v>
      </c>
      <c r="R119">
        <v>17</v>
      </c>
      <c r="Z119" s="18" t="s">
        <v>2071</v>
      </c>
    </row>
    <row r="120" spans="16:26" ht="12.75" hidden="1">
      <c r="P120">
        <v>101</v>
      </c>
      <c r="Q120" t="s">
        <v>1289</v>
      </c>
      <c r="R120">
        <v>1</v>
      </c>
      <c r="Z120" s="18" t="s">
        <v>2073</v>
      </c>
    </row>
    <row r="121" spans="16:26" ht="12.75" hidden="1">
      <c r="P121">
        <v>102</v>
      </c>
      <c r="Q121" t="s">
        <v>1295</v>
      </c>
      <c r="R121">
        <v>3</v>
      </c>
      <c r="Z121" s="18" t="s">
        <v>2075</v>
      </c>
    </row>
    <row r="122" spans="16:26" ht="12.75" hidden="1">
      <c r="P122">
        <v>103</v>
      </c>
      <c r="Q122" t="s">
        <v>1298</v>
      </c>
      <c r="R122">
        <v>14</v>
      </c>
      <c r="Z122" s="18" t="s">
        <v>2077</v>
      </c>
    </row>
    <row r="123" spans="16:26" ht="12.75" hidden="1">
      <c r="P123">
        <v>104</v>
      </c>
      <c r="Q123" t="s">
        <v>1301</v>
      </c>
      <c r="R123">
        <v>6</v>
      </c>
      <c r="Z123" s="18" t="s">
        <v>2079</v>
      </c>
    </row>
    <row r="124" spans="16:26" ht="12.75" hidden="1">
      <c r="P124">
        <v>105</v>
      </c>
      <c r="Q124" t="s">
        <v>1154</v>
      </c>
      <c r="R124">
        <v>7</v>
      </c>
      <c r="Z124" s="18" t="s">
        <v>2081</v>
      </c>
    </row>
    <row r="125" spans="16:26" ht="12.75" hidden="1">
      <c r="P125">
        <v>106</v>
      </c>
      <c r="Q125" t="s">
        <v>1157</v>
      </c>
      <c r="R125">
        <v>14</v>
      </c>
      <c r="Z125" s="18" t="s">
        <v>2083</v>
      </c>
    </row>
    <row r="126" spans="16:26" ht="12.75" hidden="1">
      <c r="P126">
        <v>107</v>
      </c>
      <c r="Q126" t="s">
        <v>1160</v>
      </c>
      <c r="R126">
        <v>6</v>
      </c>
      <c r="Z126" s="18" t="s">
        <v>2085</v>
      </c>
    </row>
    <row r="127" spans="16:26" ht="12.75" hidden="1">
      <c r="P127">
        <v>108</v>
      </c>
      <c r="Q127" t="s">
        <v>2323</v>
      </c>
      <c r="R127">
        <v>2</v>
      </c>
      <c r="Z127" s="18" t="s">
        <v>2087</v>
      </c>
    </row>
    <row r="128" spans="16:26" ht="12.75" hidden="1">
      <c r="P128">
        <v>110</v>
      </c>
      <c r="Q128" t="s">
        <v>2326</v>
      </c>
      <c r="R128">
        <v>14</v>
      </c>
      <c r="Z128" s="18" t="s">
        <v>2089</v>
      </c>
    </row>
    <row r="129" spans="16:26" ht="12.75" hidden="1">
      <c r="P129">
        <v>111</v>
      </c>
      <c r="Q129" t="s">
        <v>2329</v>
      </c>
      <c r="R129">
        <v>14</v>
      </c>
      <c r="Z129" s="18" t="s">
        <v>2091</v>
      </c>
    </row>
    <row r="130" spans="16:26" ht="12.75" hidden="1">
      <c r="P130">
        <v>113</v>
      </c>
      <c r="Q130" t="s">
        <v>2332</v>
      </c>
      <c r="R130">
        <v>15</v>
      </c>
      <c r="Z130" s="18" t="s">
        <v>2093</v>
      </c>
    </row>
    <row r="131" spans="16:26" ht="12.75" hidden="1">
      <c r="P131">
        <v>114</v>
      </c>
      <c r="Q131" t="s">
        <v>2334</v>
      </c>
      <c r="R131">
        <v>1</v>
      </c>
      <c r="Z131" s="18" t="s">
        <v>2095</v>
      </c>
    </row>
    <row r="132" spans="16:26" ht="12.75" hidden="1">
      <c r="P132">
        <v>115</v>
      </c>
      <c r="Q132" t="s">
        <v>2340</v>
      </c>
      <c r="R132">
        <v>6</v>
      </c>
      <c r="Z132" s="18" t="s">
        <v>2097</v>
      </c>
    </row>
    <row r="133" spans="16:26" ht="12.75" hidden="1">
      <c r="P133">
        <v>116</v>
      </c>
      <c r="Q133" t="s">
        <v>2343</v>
      </c>
      <c r="R133">
        <v>14</v>
      </c>
      <c r="Z133" s="18" t="s">
        <v>2099</v>
      </c>
    </row>
    <row r="134" spans="16:26" ht="12.75" hidden="1">
      <c r="P134">
        <v>117</v>
      </c>
      <c r="Q134" t="s">
        <v>2349</v>
      </c>
      <c r="R134">
        <v>8</v>
      </c>
      <c r="Z134" s="18" t="s">
        <v>2101</v>
      </c>
    </row>
    <row r="135" spans="16:26" ht="12.75" hidden="1">
      <c r="P135">
        <v>118</v>
      </c>
      <c r="Q135" t="s">
        <v>2355</v>
      </c>
      <c r="R135">
        <v>12</v>
      </c>
      <c r="Z135" s="18" t="s">
        <v>2103</v>
      </c>
    </row>
    <row r="136" spans="16:26" ht="12.75" hidden="1">
      <c r="P136">
        <v>119</v>
      </c>
      <c r="Q136" t="s">
        <v>1006</v>
      </c>
      <c r="R136">
        <v>7</v>
      </c>
      <c r="Z136" s="18" t="s">
        <v>780</v>
      </c>
    </row>
    <row r="137" spans="16:26" ht="12.75" hidden="1">
      <c r="P137">
        <v>120</v>
      </c>
      <c r="Q137" t="s">
        <v>1009</v>
      </c>
      <c r="R137">
        <v>4</v>
      </c>
      <c r="Z137" s="18" t="s">
        <v>782</v>
      </c>
    </row>
    <row r="138" spans="16:26" ht="12.75" hidden="1">
      <c r="P138">
        <v>121</v>
      </c>
      <c r="Q138" t="s">
        <v>1012</v>
      </c>
      <c r="R138">
        <v>3</v>
      </c>
      <c r="Z138" s="18" t="s">
        <v>784</v>
      </c>
    </row>
    <row r="139" spans="16:26" ht="12.75" hidden="1">
      <c r="P139">
        <v>122</v>
      </c>
      <c r="Q139" t="s">
        <v>1015</v>
      </c>
      <c r="R139">
        <v>6</v>
      </c>
      <c r="Z139" s="18" t="s">
        <v>786</v>
      </c>
    </row>
    <row r="140" spans="16:26" ht="12.75" hidden="1">
      <c r="P140">
        <v>123</v>
      </c>
      <c r="Q140" t="s">
        <v>1018</v>
      </c>
      <c r="R140">
        <v>20</v>
      </c>
      <c r="Z140" s="18" t="s">
        <v>788</v>
      </c>
    </row>
    <row r="141" spans="16:26" ht="12.75" hidden="1">
      <c r="P141">
        <v>124</v>
      </c>
      <c r="Q141" t="s">
        <v>1021</v>
      </c>
      <c r="R141">
        <v>14</v>
      </c>
      <c r="Z141" s="18" t="s">
        <v>790</v>
      </c>
    </row>
    <row r="142" spans="16:26" ht="12.75" hidden="1">
      <c r="P142">
        <v>125</v>
      </c>
      <c r="Q142" t="s">
        <v>1027</v>
      </c>
      <c r="R142">
        <v>2</v>
      </c>
      <c r="Z142" s="18" t="s">
        <v>792</v>
      </c>
    </row>
    <row r="143" spans="16:26" ht="12.75" hidden="1">
      <c r="P143">
        <v>127</v>
      </c>
      <c r="Q143" t="s">
        <v>1033</v>
      </c>
      <c r="R143">
        <v>12</v>
      </c>
      <c r="Z143" s="18" t="s">
        <v>794</v>
      </c>
    </row>
    <row r="144" spans="16:26" ht="12.75" hidden="1">
      <c r="P144">
        <v>129</v>
      </c>
      <c r="Q144" t="s">
        <v>1036</v>
      </c>
      <c r="R144">
        <v>5</v>
      </c>
      <c r="Z144" s="18" t="s">
        <v>796</v>
      </c>
    </row>
    <row r="145" spans="16:26" ht="12.75" hidden="1">
      <c r="P145">
        <v>130</v>
      </c>
      <c r="Q145" t="s">
        <v>1231</v>
      </c>
      <c r="R145">
        <v>9</v>
      </c>
      <c r="Z145" s="18" t="s">
        <v>798</v>
      </c>
    </row>
    <row r="146" spans="16:26" ht="12.75" hidden="1">
      <c r="P146">
        <v>131</v>
      </c>
      <c r="Q146" t="s">
        <v>1234</v>
      </c>
      <c r="R146">
        <v>13</v>
      </c>
      <c r="Z146" s="18" t="s">
        <v>800</v>
      </c>
    </row>
    <row r="147" spans="16:26" ht="12.75" hidden="1">
      <c r="P147">
        <v>132</v>
      </c>
      <c r="Q147" t="s">
        <v>1237</v>
      </c>
      <c r="R147">
        <v>18</v>
      </c>
      <c r="Z147" s="18" t="s">
        <v>2402</v>
      </c>
    </row>
    <row r="148" spans="16:26" ht="12.75" hidden="1">
      <c r="P148">
        <v>133</v>
      </c>
      <c r="Q148" t="s">
        <v>1386</v>
      </c>
      <c r="R148">
        <v>21</v>
      </c>
      <c r="Z148" s="18" t="s">
        <v>2404</v>
      </c>
    </row>
    <row r="149" spans="16:26" ht="12.75" hidden="1">
      <c r="P149">
        <v>134</v>
      </c>
      <c r="Q149" t="s">
        <v>1240</v>
      </c>
      <c r="R149">
        <v>17</v>
      </c>
      <c r="Z149" s="18" t="s">
        <v>2406</v>
      </c>
    </row>
    <row r="150" spans="16:26" ht="12.75" hidden="1">
      <c r="P150">
        <v>135</v>
      </c>
      <c r="Q150" t="s">
        <v>1243</v>
      </c>
      <c r="R150">
        <v>1</v>
      </c>
      <c r="Z150" s="18" t="s">
        <v>2408</v>
      </c>
    </row>
    <row r="151" spans="16:26" ht="12.75" hidden="1">
      <c r="P151">
        <v>136</v>
      </c>
      <c r="Q151" t="s">
        <v>1246</v>
      </c>
      <c r="R151">
        <v>10</v>
      </c>
      <c r="Z151" s="18" t="s">
        <v>2410</v>
      </c>
    </row>
    <row r="152" spans="16:26" ht="12.75" hidden="1">
      <c r="P152">
        <v>137</v>
      </c>
      <c r="Q152" t="s">
        <v>1249</v>
      </c>
      <c r="R152">
        <v>16</v>
      </c>
      <c r="Z152" s="18" t="s">
        <v>2412</v>
      </c>
    </row>
    <row r="153" spans="16:26" ht="12.75" hidden="1">
      <c r="P153">
        <v>138</v>
      </c>
      <c r="Q153" t="s">
        <v>1252</v>
      </c>
      <c r="R153">
        <v>18</v>
      </c>
      <c r="Z153" s="18" t="s">
        <v>209</v>
      </c>
    </row>
    <row r="154" spans="16:26" ht="12.75" hidden="1">
      <c r="P154">
        <v>139</v>
      </c>
      <c r="Q154" t="s">
        <v>1255</v>
      </c>
      <c r="R154">
        <v>7</v>
      </c>
      <c r="Z154" s="18" t="s">
        <v>520</v>
      </c>
    </row>
    <row r="155" spans="16:26" ht="12.75" hidden="1">
      <c r="P155">
        <v>140</v>
      </c>
      <c r="Q155" t="s">
        <v>1258</v>
      </c>
      <c r="R155">
        <v>12</v>
      </c>
      <c r="Z155" s="18" t="s">
        <v>522</v>
      </c>
    </row>
    <row r="156" spans="16:26" ht="12.75" hidden="1">
      <c r="P156">
        <v>141</v>
      </c>
      <c r="Q156" t="s">
        <v>1261</v>
      </c>
      <c r="R156">
        <v>16</v>
      </c>
      <c r="Z156" s="18" t="s">
        <v>524</v>
      </c>
    </row>
    <row r="157" spans="16:26" ht="12.75" hidden="1">
      <c r="P157">
        <v>144</v>
      </c>
      <c r="Q157" t="s">
        <v>1120</v>
      </c>
      <c r="R157">
        <v>7</v>
      </c>
      <c r="Z157" s="18" t="s">
        <v>526</v>
      </c>
    </row>
    <row r="158" spans="16:26" ht="12.75" hidden="1">
      <c r="P158">
        <v>145</v>
      </c>
      <c r="Q158" t="s">
        <v>1123</v>
      </c>
      <c r="R158">
        <v>6</v>
      </c>
      <c r="Z158" s="18" t="s">
        <v>528</v>
      </c>
    </row>
    <row r="159" spans="16:26" ht="12.75" hidden="1">
      <c r="P159">
        <v>146</v>
      </c>
      <c r="Q159" t="s">
        <v>1126</v>
      </c>
      <c r="R159">
        <v>2</v>
      </c>
      <c r="Z159" s="18" t="s">
        <v>530</v>
      </c>
    </row>
    <row r="160" spans="16:26" ht="12.75" hidden="1">
      <c r="P160">
        <v>148</v>
      </c>
      <c r="Q160" t="s">
        <v>1129</v>
      </c>
      <c r="R160">
        <v>17</v>
      </c>
      <c r="Z160" s="18" t="s">
        <v>2430</v>
      </c>
    </row>
    <row r="161" spans="16:26" ht="12.75" hidden="1">
      <c r="P161">
        <v>149</v>
      </c>
      <c r="Q161" t="s">
        <v>1422</v>
      </c>
      <c r="R161">
        <v>3</v>
      </c>
      <c r="Z161" s="18" t="s">
        <v>2432</v>
      </c>
    </row>
    <row r="162" spans="16:26" ht="12.75" hidden="1">
      <c r="P162">
        <v>150</v>
      </c>
      <c r="Q162" t="s">
        <v>1425</v>
      </c>
      <c r="R162">
        <v>3</v>
      </c>
      <c r="Z162" s="18" t="s">
        <v>2434</v>
      </c>
    </row>
    <row r="163" spans="16:26" ht="12.75" hidden="1">
      <c r="P163">
        <v>151</v>
      </c>
      <c r="Q163" t="s">
        <v>1551</v>
      </c>
      <c r="R163">
        <v>5</v>
      </c>
      <c r="Z163" s="18" t="s">
        <v>2436</v>
      </c>
    </row>
    <row r="164" spans="16:26" ht="12.75" hidden="1">
      <c r="P164">
        <v>152</v>
      </c>
      <c r="Q164" t="s">
        <v>1428</v>
      </c>
      <c r="R164">
        <v>2</v>
      </c>
      <c r="Z164" s="18" t="s">
        <v>2438</v>
      </c>
    </row>
    <row r="165" spans="16:26" ht="12.75" hidden="1">
      <c r="P165">
        <v>153</v>
      </c>
      <c r="Q165" t="s">
        <v>1431</v>
      </c>
      <c r="R165">
        <v>17</v>
      </c>
      <c r="Z165" s="18" t="s">
        <v>391</v>
      </c>
    </row>
    <row r="166" spans="16:26" ht="12.75" hidden="1">
      <c r="P166">
        <v>154</v>
      </c>
      <c r="Q166" t="s">
        <v>1434</v>
      </c>
      <c r="R166">
        <v>16</v>
      </c>
      <c r="Z166" s="18" t="s">
        <v>393</v>
      </c>
    </row>
    <row r="167" spans="16:26" ht="12.75" hidden="1">
      <c r="P167">
        <v>155</v>
      </c>
      <c r="Q167" t="s">
        <v>1757</v>
      </c>
      <c r="R167">
        <v>17</v>
      </c>
      <c r="Z167" s="18" t="s">
        <v>395</v>
      </c>
    </row>
    <row r="168" spans="16:26" ht="12.75" hidden="1">
      <c r="P168">
        <v>156</v>
      </c>
      <c r="Q168" t="s">
        <v>1760</v>
      </c>
      <c r="R168">
        <v>5</v>
      </c>
      <c r="Z168" s="18" t="s">
        <v>1142</v>
      </c>
    </row>
    <row r="169" spans="16:26" ht="12.75" hidden="1">
      <c r="P169">
        <v>158</v>
      </c>
      <c r="Q169" t="s">
        <v>1763</v>
      </c>
      <c r="R169">
        <v>1</v>
      </c>
      <c r="Z169" s="18" t="s">
        <v>1144</v>
      </c>
    </row>
    <row r="170" spans="16:26" ht="12.75" hidden="1">
      <c r="P170">
        <v>159</v>
      </c>
      <c r="Q170" t="s">
        <v>1766</v>
      </c>
      <c r="R170">
        <v>16</v>
      </c>
      <c r="Z170" s="18" t="s">
        <v>1146</v>
      </c>
    </row>
    <row r="171" spans="16:26" ht="12.75" hidden="1">
      <c r="P171">
        <v>161</v>
      </c>
      <c r="Q171" t="s">
        <v>1769</v>
      </c>
      <c r="R171">
        <v>7</v>
      </c>
      <c r="Z171" s="18" t="s">
        <v>1148</v>
      </c>
    </row>
    <row r="172" spans="16:26" ht="12.75" hidden="1">
      <c r="P172">
        <v>163</v>
      </c>
      <c r="Q172" t="s">
        <v>1775</v>
      </c>
      <c r="R172">
        <v>1</v>
      </c>
      <c r="Z172" s="18" t="s">
        <v>1150</v>
      </c>
    </row>
    <row r="173" spans="16:26" ht="12.75" hidden="1">
      <c r="P173">
        <v>164</v>
      </c>
      <c r="Q173" t="s">
        <v>1778</v>
      </c>
      <c r="R173">
        <v>11</v>
      </c>
      <c r="Z173" s="18" t="s">
        <v>1152</v>
      </c>
    </row>
    <row r="174" spans="16:26" ht="12.75" hidden="1">
      <c r="P174">
        <v>165</v>
      </c>
      <c r="Q174" t="s">
        <v>1781</v>
      </c>
      <c r="R174">
        <v>5</v>
      </c>
      <c r="Z174" s="18" t="s">
        <v>1267</v>
      </c>
    </row>
    <row r="175" spans="16:26" ht="12.75" hidden="1">
      <c r="P175">
        <v>166</v>
      </c>
      <c r="Q175" t="s">
        <v>1787</v>
      </c>
      <c r="R175">
        <v>16</v>
      </c>
      <c r="Z175" s="18" t="s">
        <v>1269</v>
      </c>
    </row>
    <row r="176" spans="16:26" ht="12.75" hidden="1">
      <c r="P176">
        <v>167</v>
      </c>
      <c r="Q176" t="s">
        <v>1369</v>
      </c>
      <c r="R176">
        <v>13</v>
      </c>
      <c r="Z176" s="18" t="s">
        <v>1271</v>
      </c>
    </row>
    <row r="177" spans="16:26" ht="12.75" hidden="1">
      <c r="P177">
        <v>168</v>
      </c>
      <c r="Q177" t="s">
        <v>1372</v>
      </c>
      <c r="R177">
        <v>3</v>
      </c>
      <c r="Z177" s="18" t="s">
        <v>1273</v>
      </c>
    </row>
    <row r="178" spans="16:26" ht="12.75" hidden="1">
      <c r="P178">
        <v>169</v>
      </c>
      <c r="Q178" t="s">
        <v>1375</v>
      </c>
      <c r="R178">
        <v>1</v>
      </c>
      <c r="Z178" s="18" t="s">
        <v>1275</v>
      </c>
    </row>
    <row r="179" spans="16:26" ht="12.75" hidden="1">
      <c r="P179">
        <v>170</v>
      </c>
      <c r="Q179" t="s">
        <v>1378</v>
      </c>
      <c r="R179">
        <v>8</v>
      </c>
      <c r="Z179" s="18" t="s">
        <v>1277</v>
      </c>
    </row>
    <row r="180" spans="16:26" ht="12.75" hidden="1">
      <c r="P180">
        <v>171</v>
      </c>
      <c r="Q180" t="s">
        <v>1381</v>
      </c>
      <c r="R180">
        <v>17</v>
      </c>
      <c r="Z180" s="18" t="s">
        <v>2139</v>
      </c>
    </row>
    <row r="181" spans="16:26" ht="12.75" hidden="1">
      <c r="P181">
        <v>172</v>
      </c>
      <c r="Q181" t="s">
        <v>1387</v>
      </c>
      <c r="R181">
        <v>4</v>
      </c>
      <c r="Z181" s="18" t="s">
        <v>2141</v>
      </c>
    </row>
    <row r="182" spans="16:26" ht="12.75" hidden="1">
      <c r="P182">
        <v>173</v>
      </c>
      <c r="Q182" t="s">
        <v>1390</v>
      </c>
      <c r="R182">
        <v>13</v>
      </c>
      <c r="Z182" s="18" t="s">
        <v>2143</v>
      </c>
    </row>
    <row r="183" spans="16:26" ht="12.75" hidden="1">
      <c r="P183">
        <v>175</v>
      </c>
      <c r="Q183" t="s">
        <v>1402</v>
      </c>
      <c r="R183">
        <v>18</v>
      </c>
      <c r="Z183" s="18" t="s">
        <v>2145</v>
      </c>
    </row>
    <row r="184" spans="16:26" ht="12.75" hidden="1">
      <c r="P184">
        <v>176</v>
      </c>
      <c r="Q184" t="s">
        <v>1405</v>
      </c>
      <c r="R184">
        <v>7</v>
      </c>
      <c r="Z184" s="18" t="s">
        <v>2147</v>
      </c>
    </row>
    <row r="185" spans="16:26" ht="12.75" hidden="1">
      <c r="P185">
        <v>177</v>
      </c>
      <c r="Q185" t="s">
        <v>1796</v>
      </c>
      <c r="R185">
        <v>11</v>
      </c>
      <c r="Z185" s="18" t="s">
        <v>2149</v>
      </c>
    </row>
    <row r="186" spans="16:26" ht="12.75" hidden="1">
      <c r="P186">
        <v>178</v>
      </c>
      <c r="Q186" t="s">
        <v>1799</v>
      </c>
      <c r="R186">
        <v>9</v>
      </c>
      <c r="Z186" s="18" t="s">
        <v>2151</v>
      </c>
    </row>
    <row r="187" spans="16:26" ht="12.75" hidden="1">
      <c r="P187">
        <v>179</v>
      </c>
      <c r="Q187" t="s">
        <v>1973</v>
      </c>
      <c r="R187">
        <v>4</v>
      </c>
      <c r="Z187" s="18" t="s">
        <v>2153</v>
      </c>
    </row>
    <row r="188" spans="16:26" ht="12.75" hidden="1">
      <c r="P188">
        <v>180</v>
      </c>
      <c r="Q188" t="s">
        <v>668</v>
      </c>
      <c r="R188">
        <v>8</v>
      </c>
      <c r="Z188" s="18" t="s">
        <v>1663</v>
      </c>
    </row>
    <row r="189" spans="16:26" ht="12.75" hidden="1">
      <c r="P189">
        <v>181</v>
      </c>
      <c r="Q189" t="s">
        <v>671</v>
      </c>
      <c r="R189">
        <v>17</v>
      </c>
      <c r="Z189" s="18" t="s">
        <v>1665</v>
      </c>
    </row>
    <row r="190" spans="16:26" ht="12.75" hidden="1">
      <c r="P190">
        <v>183</v>
      </c>
      <c r="Q190" t="s">
        <v>677</v>
      </c>
      <c r="R190">
        <v>15</v>
      </c>
      <c r="Z190" s="18" t="s">
        <v>2604</v>
      </c>
    </row>
    <row r="191" spans="16:26" ht="12.75" hidden="1">
      <c r="P191">
        <v>184</v>
      </c>
      <c r="Q191" t="s">
        <v>679</v>
      </c>
      <c r="R191">
        <v>15</v>
      </c>
      <c r="Z191" s="18" t="s">
        <v>2606</v>
      </c>
    </row>
    <row r="192" spans="16:26" ht="12.75" hidden="1">
      <c r="P192">
        <v>185</v>
      </c>
      <c r="Q192" t="s">
        <v>993</v>
      </c>
      <c r="R192">
        <v>12</v>
      </c>
      <c r="Z192" s="18" t="s">
        <v>2608</v>
      </c>
    </row>
    <row r="193" spans="16:26" ht="12.75" hidden="1">
      <c r="P193">
        <v>186</v>
      </c>
      <c r="Q193" t="s">
        <v>996</v>
      </c>
      <c r="R193">
        <v>8</v>
      </c>
      <c r="Z193" s="18" t="s">
        <v>1205</v>
      </c>
    </row>
    <row r="194" spans="16:26" ht="12.75" hidden="1">
      <c r="P194">
        <v>187</v>
      </c>
      <c r="Q194" t="s">
        <v>999</v>
      </c>
      <c r="R194">
        <v>2</v>
      </c>
      <c r="Z194" s="18" t="s">
        <v>1207</v>
      </c>
    </row>
    <row r="195" spans="16:26" ht="12.75" hidden="1">
      <c r="P195">
        <v>189</v>
      </c>
      <c r="Q195" t="s">
        <v>50</v>
      </c>
      <c r="R195">
        <v>5</v>
      </c>
      <c r="Z195" s="18" t="s">
        <v>1209</v>
      </c>
    </row>
    <row r="196" spans="16:26" ht="12.75" hidden="1">
      <c r="P196">
        <v>190</v>
      </c>
      <c r="Q196" t="s">
        <v>53</v>
      </c>
      <c r="R196">
        <v>1</v>
      </c>
      <c r="Z196" s="18" t="s">
        <v>1211</v>
      </c>
    </row>
    <row r="197" spans="16:26" ht="12.75" hidden="1">
      <c r="P197">
        <v>192</v>
      </c>
      <c r="Q197" t="s">
        <v>56</v>
      </c>
      <c r="R197">
        <v>17</v>
      </c>
      <c r="Z197" s="18" t="s">
        <v>1213</v>
      </c>
    </row>
    <row r="198" spans="16:26" ht="12.75" hidden="1">
      <c r="P198">
        <v>193</v>
      </c>
      <c r="Q198" t="s">
        <v>59</v>
      </c>
      <c r="R198">
        <v>1</v>
      </c>
      <c r="Z198" s="18" t="s">
        <v>1456</v>
      </c>
    </row>
    <row r="199" spans="16:26" ht="12.75" hidden="1">
      <c r="P199">
        <v>194</v>
      </c>
      <c r="Q199" t="s">
        <v>62</v>
      </c>
      <c r="R199">
        <v>6</v>
      </c>
      <c r="Z199" s="18" t="s">
        <v>1458</v>
      </c>
    </row>
    <row r="200" spans="16:26" ht="12.75" hidden="1">
      <c r="P200">
        <v>195</v>
      </c>
      <c r="Q200" t="s">
        <v>65</v>
      </c>
      <c r="R200">
        <v>14</v>
      </c>
      <c r="Z200" s="18" t="s">
        <v>1460</v>
      </c>
    </row>
    <row r="201" spans="16:26" ht="12.75" hidden="1">
      <c r="P201">
        <v>196</v>
      </c>
      <c r="Q201" t="s">
        <v>68</v>
      </c>
      <c r="R201">
        <v>15</v>
      </c>
      <c r="Z201" s="18" t="s">
        <v>1462</v>
      </c>
    </row>
    <row r="202" spans="16:26" ht="12.75" hidden="1">
      <c r="P202">
        <v>197</v>
      </c>
      <c r="Q202" t="s">
        <v>74</v>
      </c>
      <c r="R202">
        <v>17</v>
      </c>
      <c r="Z202" s="18" t="s">
        <v>1464</v>
      </c>
    </row>
    <row r="203" spans="16:26" ht="12.75" hidden="1">
      <c r="P203">
        <v>198</v>
      </c>
      <c r="Q203" t="s">
        <v>77</v>
      </c>
      <c r="R203">
        <v>19</v>
      </c>
      <c r="Z203" s="18" t="s">
        <v>1466</v>
      </c>
    </row>
    <row r="204" spans="16:26" ht="12.75" hidden="1">
      <c r="P204">
        <v>199</v>
      </c>
      <c r="Q204" t="s">
        <v>349</v>
      </c>
      <c r="R204">
        <v>7</v>
      </c>
      <c r="Z204" s="18" t="s">
        <v>1468</v>
      </c>
    </row>
    <row r="205" spans="16:26" ht="12.75" hidden="1">
      <c r="P205">
        <v>200</v>
      </c>
      <c r="Q205" t="s">
        <v>2449</v>
      </c>
      <c r="R205">
        <v>2</v>
      </c>
      <c r="Z205" s="18" t="s">
        <v>1470</v>
      </c>
    </row>
    <row r="206" spans="16:26" ht="12.75" hidden="1">
      <c r="P206">
        <v>201</v>
      </c>
      <c r="Q206" t="s">
        <v>2452</v>
      </c>
      <c r="R206">
        <v>6</v>
      </c>
      <c r="Z206" s="18" t="s">
        <v>1472</v>
      </c>
    </row>
    <row r="207" spans="16:26" ht="12.75" hidden="1">
      <c r="P207">
        <v>202</v>
      </c>
      <c r="Q207" t="s">
        <v>2455</v>
      </c>
      <c r="R207">
        <v>6</v>
      </c>
      <c r="Z207" s="18" t="s">
        <v>1474</v>
      </c>
    </row>
    <row r="208" spans="16:26" ht="12.75" hidden="1">
      <c r="P208">
        <v>203</v>
      </c>
      <c r="Q208" t="s">
        <v>2458</v>
      </c>
      <c r="R208">
        <v>6</v>
      </c>
      <c r="Z208" s="18" t="s">
        <v>1476</v>
      </c>
    </row>
    <row r="209" spans="16:26" ht="12.75" hidden="1">
      <c r="P209">
        <v>204</v>
      </c>
      <c r="Q209" t="s">
        <v>2461</v>
      </c>
      <c r="R209">
        <v>19</v>
      </c>
      <c r="Z209" s="18" t="s">
        <v>1478</v>
      </c>
    </row>
    <row r="210" spans="16:26" ht="12.75" hidden="1">
      <c r="P210">
        <v>205</v>
      </c>
      <c r="Q210" t="s">
        <v>2467</v>
      </c>
      <c r="R210">
        <v>14</v>
      </c>
      <c r="Z210" s="18" t="s">
        <v>1480</v>
      </c>
    </row>
    <row r="211" spans="16:26" ht="12.75" hidden="1">
      <c r="P211">
        <v>206</v>
      </c>
      <c r="Q211" t="s">
        <v>2470</v>
      </c>
      <c r="R211">
        <v>20</v>
      </c>
      <c r="Z211" s="18" t="s">
        <v>718</v>
      </c>
    </row>
    <row r="212" spans="16:26" ht="12.75" hidden="1">
      <c r="P212">
        <v>208</v>
      </c>
      <c r="Q212" t="s">
        <v>2473</v>
      </c>
      <c r="R212">
        <v>2</v>
      </c>
      <c r="Z212" s="18" t="s">
        <v>720</v>
      </c>
    </row>
    <row r="213" spans="16:26" ht="12.75" hidden="1">
      <c r="P213">
        <v>209</v>
      </c>
      <c r="Q213" t="s">
        <v>2476</v>
      </c>
      <c r="R213">
        <v>8</v>
      </c>
      <c r="Z213" s="18" t="s">
        <v>722</v>
      </c>
    </row>
    <row r="214" spans="16:26" ht="12.75" hidden="1">
      <c r="P214">
        <v>211</v>
      </c>
      <c r="Q214" t="s">
        <v>2479</v>
      </c>
      <c r="R214">
        <v>2</v>
      </c>
      <c r="Z214" s="18" t="s">
        <v>724</v>
      </c>
    </row>
    <row r="215" spans="16:26" ht="12.75" hidden="1">
      <c r="P215">
        <v>212</v>
      </c>
      <c r="Q215" t="s">
        <v>2482</v>
      </c>
      <c r="R215">
        <v>2</v>
      </c>
      <c r="Z215" s="18" t="s">
        <v>726</v>
      </c>
    </row>
    <row r="216" spans="16:26" ht="12.75" hidden="1">
      <c r="P216">
        <v>213</v>
      </c>
      <c r="Q216" t="s">
        <v>1522</v>
      </c>
      <c r="R216">
        <v>1</v>
      </c>
      <c r="Z216" s="18" t="s">
        <v>245</v>
      </c>
    </row>
    <row r="217" spans="16:26" ht="12.75" hidden="1">
      <c r="P217">
        <v>214</v>
      </c>
      <c r="Q217" t="s">
        <v>1525</v>
      </c>
      <c r="R217">
        <v>6</v>
      </c>
      <c r="Z217" s="18" t="s">
        <v>247</v>
      </c>
    </row>
    <row r="218" spans="16:26" ht="12.75" hidden="1">
      <c r="P218">
        <v>215</v>
      </c>
      <c r="Q218" t="s">
        <v>1528</v>
      </c>
      <c r="R218">
        <v>8</v>
      </c>
      <c r="Z218" s="18" t="s">
        <v>249</v>
      </c>
    </row>
    <row r="219" spans="16:26" ht="12.75" hidden="1">
      <c r="P219">
        <v>216</v>
      </c>
      <c r="Q219" t="s">
        <v>1531</v>
      </c>
      <c r="R219">
        <v>4</v>
      </c>
      <c r="Z219" s="18" t="s">
        <v>1667</v>
      </c>
    </row>
    <row r="220" spans="16:26" ht="12.75" hidden="1">
      <c r="P220">
        <v>217</v>
      </c>
      <c r="Q220" t="s">
        <v>1534</v>
      </c>
      <c r="R220">
        <v>18</v>
      </c>
      <c r="Z220" s="18" t="s">
        <v>1669</v>
      </c>
    </row>
    <row r="221" spans="16:26" ht="12.75" hidden="1">
      <c r="P221">
        <v>219</v>
      </c>
      <c r="Q221" t="s">
        <v>1540</v>
      </c>
      <c r="R221">
        <v>19</v>
      </c>
      <c r="Z221" s="18" t="s">
        <v>1671</v>
      </c>
    </row>
    <row r="222" spans="16:26" ht="12.75" hidden="1">
      <c r="P222">
        <v>220</v>
      </c>
      <c r="Q222" t="s">
        <v>1546</v>
      </c>
      <c r="R222">
        <v>3</v>
      </c>
      <c r="Z222" s="18" t="s">
        <v>1673</v>
      </c>
    </row>
    <row r="223" spans="16:26" ht="12.75" hidden="1">
      <c r="P223">
        <v>221</v>
      </c>
      <c r="Q223" t="s">
        <v>1549</v>
      </c>
      <c r="R223">
        <v>11</v>
      </c>
      <c r="Z223" s="18" t="s">
        <v>1675</v>
      </c>
    </row>
    <row r="224" spans="16:26" ht="12.75" hidden="1">
      <c r="P224">
        <v>222</v>
      </c>
      <c r="Q224" t="s">
        <v>1323</v>
      </c>
      <c r="R224">
        <v>18</v>
      </c>
      <c r="Z224" s="18" t="s">
        <v>1677</v>
      </c>
    </row>
    <row r="225" spans="16:26" ht="12.75" hidden="1">
      <c r="P225">
        <v>223</v>
      </c>
      <c r="Q225" t="s">
        <v>1326</v>
      </c>
      <c r="R225">
        <v>18</v>
      </c>
      <c r="Z225" s="18" t="s">
        <v>1679</v>
      </c>
    </row>
    <row r="226" spans="16:26" ht="12.75" hidden="1">
      <c r="P226">
        <v>225</v>
      </c>
      <c r="Q226" t="s">
        <v>1329</v>
      </c>
      <c r="R226">
        <v>4</v>
      </c>
      <c r="Z226" s="18" t="s">
        <v>1942</v>
      </c>
    </row>
    <row r="227" spans="16:26" ht="12.75" hidden="1">
      <c r="P227">
        <v>226</v>
      </c>
      <c r="Q227" t="s">
        <v>1332</v>
      </c>
      <c r="R227">
        <v>19</v>
      </c>
      <c r="Z227" s="18" t="s">
        <v>1944</v>
      </c>
    </row>
    <row r="228" spans="16:26" ht="12.75" hidden="1">
      <c r="P228">
        <v>227</v>
      </c>
      <c r="Q228" t="s">
        <v>1649</v>
      </c>
      <c r="R228">
        <v>6</v>
      </c>
      <c r="Z228" s="18" t="s">
        <v>1946</v>
      </c>
    </row>
    <row r="229" spans="16:26" ht="12.75" hidden="1">
      <c r="P229">
        <v>228</v>
      </c>
      <c r="Q229" t="s">
        <v>1652</v>
      </c>
      <c r="R229">
        <v>3</v>
      </c>
      <c r="Z229" s="18" t="s">
        <v>1948</v>
      </c>
    </row>
    <row r="230" spans="16:26" ht="12.75" hidden="1">
      <c r="P230">
        <v>229</v>
      </c>
      <c r="Q230" t="s">
        <v>1655</v>
      </c>
      <c r="R230">
        <v>5</v>
      </c>
      <c r="Z230" s="18" t="s">
        <v>1950</v>
      </c>
    </row>
    <row r="231" spans="16:26" ht="12.75" hidden="1">
      <c r="P231">
        <v>230</v>
      </c>
      <c r="Q231" t="s">
        <v>1658</v>
      </c>
      <c r="R231">
        <v>14</v>
      </c>
      <c r="Z231" s="18" t="s">
        <v>1952</v>
      </c>
    </row>
    <row r="232" spans="16:26" ht="12.75" hidden="1">
      <c r="P232">
        <v>231</v>
      </c>
      <c r="Q232" t="s">
        <v>1661</v>
      </c>
      <c r="R232">
        <v>11</v>
      </c>
      <c r="Z232" s="18" t="s">
        <v>1954</v>
      </c>
    </row>
    <row r="233" spans="16:26" ht="12.75" hidden="1">
      <c r="P233">
        <v>232</v>
      </c>
      <c r="Q233" t="s">
        <v>2530</v>
      </c>
      <c r="R233">
        <v>3</v>
      </c>
      <c r="Z233" s="18" t="s">
        <v>1956</v>
      </c>
    </row>
    <row r="234" spans="16:26" ht="12.75" hidden="1">
      <c r="P234">
        <v>234</v>
      </c>
      <c r="Q234" t="s">
        <v>2533</v>
      </c>
      <c r="R234">
        <v>13</v>
      </c>
      <c r="Z234" s="18" t="s">
        <v>1681</v>
      </c>
    </row>
    <row r="235" spans="16:26" ht="12.75" hidden="1">
      <c r="P235">
        <v>235</v>
      </c>
      <c r="Q235" t="s">
        <v>2536</v>
      </c>
      <c r="R235">
        <v>18</v>
      </c>
      <c r="Z235" s="18" t="s">
        <v>1683</v>
      </c>
    </row>
    <row r="236" spans="16:26" ht="12.75" hidden="1">
      <c r="P236">
        <v>236</v>
      </c>
      <c r="Q236" t="s">
        <v>2539</v>
      </c>
      <c r="R236">
        <v>2</v>
      </c>
      <c r="Z236" s="18" t="s">
        <v>1685</v>
      </c>
    </row>
    <row r="237" spans="16:26" ht="12.75" hidden="1">
      <c r="P237">
        <v>237</v>
      </c>
      <c r="Q237" t="s">
        <v>2542</v>
      </c>
      <c r="R237">
        <v>8</v>
      </c>
      <c r="Z237" s="18" t="s">
        <v>1687</v>
      </c>
    </row>
    <row r="238" spans="16:26" ht="12.75" hidden="1">
      <c r="P238">
        <v>239</v>
      </c>
      <c r="Q238" t="s">
        <v>2551</v>
      </c>
      <c r="R238">
        <v>16</v>
      </c>
      <c r="Z238" s="18" t="s">
        <v>1689</v>
      </c>
    </row>
    <row r="239" spans="16:26" ht="12.75" hidden="1">
      <c r="P239">
        <v>240</v>
      </c>
      <c r="Q239" t="s">
        <v>2554</v>
      </c>
      <c r="R239">
        <v>9</v>
      </c>
      <c r="Z239" s="18" t="s">
        <v>1691</v>
      </c>
    </row>
    <row r="240" spans="16:26" ht="12.75" hidden="1">
      <c r="P240">
        <v>242</v>
      </c>
      <c r="Q240" t="s">
        <v>2557</v>
      </c>
      <c r="R240">
        <v>8</v>
      </c>
      <c r="Z240" s="18" t="s">
        <v>1693</v>
      </c>
    </row>
    <row r="241" spans="16:26" ht="12.75" hidden="1">
      <c r="P241">
        <v>243</v>
      </c>
      <c r="Q241" t="s">
        <v>2560</v>
      </c>
      <c r="R241">
        <v>17</v>
      </c>
      <c r="Z241" s="18" t="s">
        <v>1695</v>
      </c>
    </row>
    <row r="242" spans="16:26" ht="12.75" hidden="1">
      <c r="P242">
        <v>244</v>
      </c>
      <c r="Q242" t="s">
        <v>2563</v>
      </c>
      <c r="R242">
        <v>5</v>
      </c>
      <c r="Z242" s="18" t="s">
        <v>2440</v>
      </c>
    </row>
    <row r="243" spans="16:26" ht="12.75" hidden="1">
      <c r="P243">
        <v>245</v>
      </c>
      <c r="Q243" t="s">
        <v>2569</v>
      </c>
      <c r="R243">
        <v>10</v>
      </c>
      <c r="Z243" s="18" t="s">
        <v>2442</v>
      </c>
    </row>
    <row r="244" spans="16:26" ht="12.75" hidden="1">
      <c r="P244">
        <v>246</v>
      </c>
      <c r="Q244" t="s">
        <v>2575</v>
      </c>
      <c r="R244">
        <v>18</v>
      </c>
      <c r="Z244" s="18" t="s">
        <v>2444</v>
      </c>
    </row>
    <row r="245" spans="16:26" ht="12.75" hidden="1">
      <c r="P245">
        <v>247</v>
      </c>
      <c r="Q245" t="s">
        <v>2578</v>
      </c>
      <c r="R245">
        <v>5</v>
      </c>
      <c r="Z245" s="18" t="s">
        <v>2446</v>
      </c>
    </row>
    <row r="246" spans="16:26" ht="12.75" hidden="1">
      <c r="P246">
        <v>248</v>
      </c>
      <c r="Q246" t="s">
        <v>2581</v>
      </c>
      <c r="R246">
        <v>2</v>
      </c>
      <c r="Z246" s="18" t="s">
        <v>2448</v>
      </c>
    </row>
    <row r="247" spans="16:26" ht="12.75" hidden="1">
      <c r="P247">
        <v>249</v>
      </c>
      <c r="Q247" t="s">
        <v>2590</v>
      </c>
      <c r="R247">
        <v>17</v>
      </c>
      <c r="Z247" s="18" t="s">
        <v>756</v>
      </c>
    </row>
    <row r="248" spans="16:26" ht="12.75" hidden="1">
      <c r="P248">
        <v>250</v>
      </c>
      <c r="Q248" t="s">
        <v>2593</v>
      </c>
      <c r="R248">
        <v>20</v>
      </c>
      <c r="Z248" s="18" t="s">
        <v>758</v>
      </c>
    </row>
    <row r="249" spans="16:26" ht="12.75" hidden="1">
      <c r="P249">
        <v>251</v>
      </c>
      <c r="Q249" t="s">
        <v>2596</v>
      </c>
      <c r="R249">
        <v>5</v>
      </c>
      <c r="Z249" s="18" t="s">
        <v>760</v>
      </c>
    </row>
    <row r="250" spans="16:26" ht="12.75" hidden="1">
      <c r="P250">
        <v>252</v>
      </c>
      <c r="Q250" t="s">
        <v>2599</v>
      </c>
      <c r="R250">
        <v>8</v>
      </c>
      <c r="Z250" s="18" t="s">
        <v>762</v>
      </c>
    </row>
    <row r="251" spans="16:26" ht="12.75" hidden="1">
      <c r="P251">
        <v>253</v>
      </c>
      <c r="Q251" t="s">
        <v>100</v>
      </c>
      <c r="R251">
        <v>8</v>
      </c>
      <c r="Z251" s="18" t="s">
        <v>764</v>
      </c>
    </row>
    <row r="252" spans="16:26" ht="12.75" hidden="1">
      <c r="P252">
        <v>254</v>
      </c>
      <c r="Q252" t="s">
        <v>103</v>
      </c>
      <c r="R252">
        <v>18</v>
      </c>
      <c r="Z252" s="18" t="s">
        <v>766</v>
      </c>
    </row>
    <row r="253" spans="16:26" ht="12.75" hidden="1">
      <c r="P253">
        <v>256</v>
      </c>
      <c r="Q253" t="s">
        <v>106</v>
      </c>
      <c r="R253">
        <v>2</v>
      </c>
      <c r="Z253" s="18" t="s">
        <v>768</v>
      </c>
    </row>
    <row r="254" spans="16:26" ht="12.75" hidden="1">
      <c r="P254">
        <v>257</v>
      </c>
      <c r="Q254" t="s">
        <v>112</v>
      </c>
      <c r="R254">
        <v>14</v>
      </c>
      <c r="Z254" s="18" t="s">
        <v>389</v>
      </c>
    </row>
    <row r="255" spans="16:26" ht="12.75" hidden="1">
      <c r="P255">
        <v>258</v>
      </c>
      <c r="Q255" t="s">
        <v>115</v>
      </c>
      <c r="R255">
        <v>17</v>
      </c>
      <c r="Z255" s="18" t="s">
        <v>27</v>
      </c>
    </row>
    <row r="256" spans="16:26" ht="12.75" hidden="1">
      <c r="P256">
        <v>259</v>
      </c>
      <c r="Q256" t="s">
        <v>121</v>
      </c>
      <c r="R256">
        <v>3</v>
      </c>
      <c r="Z256" s="18" t="s">
        <v>29</v>
      </c>
    </row>
    <row r="257" spans="16:26" ht="12.75" hidden="1">
      <c r="P257">
        <v>260</v>
      </c>
      <c r="Q257" t="s">
        <v>1352</v>
      </c>
      <c r="R257">
        <v>5</v>
      </c>
      <c r="Z257" s="18" t="s">
        <v>31</v>
      </c>
    </row>
    <row r="258" spans="16:26" ht="12.75" hidden="1">
      <c r="P258">
        <v>261</v>
      </c>
      <c r="Q258" t="s">
        <v>1355</v>
      </c>
      <c r="R258">
        <v>8</v>
      </c>
      <c r="Z258" s="18" t="s">
        <v>33</v>
      </c>
    </row>
    <row r="259" spans="16:26" ht="12.75" hidden="1">
      <c r="P259">
        <v>263</v>
      </c>
      <c r="Q259" t="s">
        <v>1358</v>
      </c>
      <c r="R259">
        <v>18</v>
      </c>
      <c r="Z259" s="18" t="s">
        <v>35</v>
      </c>
    </row>
    <row r="260" spans="16:26" ht="12.75" hidden="1">
      <c r="P260">
        <v>264</v>
      </c>
      <c r="Q260" t="s">
        <v>1055</v>
      </c>
      <c r="R260">
        <v>19</v>
      </c>
      <c r="Z260" s="18" t="s">
        <v>37</v>
      </c>
    </row>
    <row r="261" spans="16:26" ht="12.75" hidden="1">
      <c r="P261">
        <v>265</v>
      </c>
      <c r="Q261" t="s">
        <v>1058</v>
      </c>
      <c r="R261">
        <v>2</v>
      </c>
      <c r="Z261" s="18" t="s">
        <v>39</v>
      </c>
    </row>
    <row r="262" spans="16:26" ht="12.75" hidden="1">
      <c r="P262">
        <v>266</v>
      </c>
      <c r="Q262" t="s">
        <v>1061</v>
      </c>
      <c r="R262">
        <v>10</v>
      </c>
      <c r="Z262" s="18" t="s">
        <v>41</v>
      </c>
    </row>
    <row r="263" spans="16:26" ht="12.75" hidden="1">
      <c r="P263">
        <v>267</v>
      </c>
      <c r="Q263" t="s">
        <v>1064</v>
      </c>
      <c r="R263">
        <v>17</v>
      </c>
      <c r="Z263" s="18" t="s">
        <v>43</v>
      </c>
    </row>
    <row r="264" spans="16:26" ht="12.75" hidden="1">
      <c r="P264">
        <v>268</v>
      </c>
      <c r="Q264" t="s">
        <v>1067</v>
      </c>
      <c r="R264">
        <v>19</v>
      </c>
      <c r="Z264" s="18" t="s">
        <v>45</v>
      </c>
    </row>
    <row r="265" spans="16:26" ht="12.75" hidden="1">
      <c r="P265">
        <v>270</v>
      </c>
      <c r="Q265" t="s">
        <v>1070</v>
      </c>
      <c r="R265">
        <v>6</v>
      </c>
      <c r="Z265" s="18" t="s">
        <v>47</v>
      </c>
    </row>
    <row r="266" spans="16:26" ht="12.75" hidden="1">
      <c r="P266">
        <v>271</v>
      </c>
      <c r="Q266" t="s">
        <v>1782</v>
      </c>
      <c r="R266">
        <v>14</v>
      </c>
      <c r="Z266" s="18" t="s">
        <v>319</v>
      </c>
    </row>
    <row r="267" spans="16:26" ht="12.75" hidden="1">
      <c r="P267">
        <v>273</v>
      </c>
      <c r="Q267" t="s">
        <v>1073</v>
      </c>
      <c r="R267">
        <v>8</v>
      </c>
      <c r="Z267" s="18" t="s">
        <v>321</v>
      </c>
    </row>
    <row r="268" spans="16:26" ht="12.75" hidden="1">
      <c r="P268">
        <v>274</v>
      </c>
      <c r="Q268" t="s">
        <v>1076</v>
      </c>
      <c r="R268">
        <v>18</v>
      </c>
      <c r="Z268" s="18" t="s">
        <v>323</v>
      </c>
    </row>
    <row r="269" spans="16:26" ht="12.75" hidden="1">
      <c r="P269">
        <v>275</v>
      </c>
      <c r="Q269" t="s">
        <v>1079</v>
      </c>
      <c r="R269">
        <v>8</v>
      </c>
      <c r="Z269" s="18" t="s">
        <v>325</v>
      </c>
    </row>
    <row r="270" spans="16:26" ht="12.75" hidden="1">
      <c r="P270">
        <v>276</v>
      </c>
      <c r="Q270" t="s">
        <v>1085</v>
      </c>
      <c r="R270">
        <v>20</v>
      </c>
      <c r="Z270" s="18" t="s">
        <v>327</v>
      </c>
    </row>
    <row r="271" spans="16:26" ht="12.75" hidden="1">
      <c r="P271">
        <v>278</v>
      </c>
      <c r="Q271" t="s">
        <v>140</v>
      </c>
      <c r="R271">
        <v>14</v>
      </c>
      <c r="Z271" s="18" t="s">
        <v>329</v>
      </c>
    </row>
    <row r="272" spans="16:26" ht="12.75" hidden="1">
      <c r="P272">
        <v>279</v>
      </c>
      <c r="Q272" t="s">
        <v>143</v>
      </c>
      <c r="R272">
        <v>20</v>
      </c>
      <c r="Z272" s="18" t="s">
        <v>167</v>
      </c>
    </row>
    <row r="273" spans="16:26" ht="12.75" hidden="1">
      <c r="P273">
        <v>280</v>
      </c>
      <c r="Q273" t="s">
        <v>1284</v>
      </c>
      <c r="R273">
        <v>17</v>
      </c>
      <c r="Z273" s="18" t="s">
        <v>169</v>
      </c>
    </row>
    <row r="274" spans="16:26" ht="12.75" hidden="1">
      <c r="P274">
        <v>281</v>
      </c>
      <c r="Q274" t="s">
        <v>1287</v>
      </c>
      <c r="R274">
        <v>4</v>
      </c>
      <c r="Z274" s="18" t="s">
        <v>1560</v>
      </c>
    </row>
    <row r="275" spans="16:26" ht="12.75" hidden="1">
      <c r="P275">
        <v>282</v>
      </c>
      <c r="Q275" t="s">
        <v>1293</v>
      </c>
      <c r="R275">
        <v>13</v>
      </c>
      <c r="Z275" s="18" t="s">
        <v>331</v>
      </c>
    </row>
    <row r="276" spans="16:26" ht="12.75" hidden="1">
      <c r="P276">
        <v>283</v>
      </c>
      <c r="Q276" t="s">
        <v>1296</v>
      </c>
      <c r="R276">
        <v>10</v>
      </c>
      <c r="Z276" s="18" t="s">
        <v>1822</v>
      </c>
    </row>
    <row r="277" spans="16:26" ht="12.75" hidden="1">
      <c r="P277">
        <v>284</v>
      </c>
      <c r="Q277" t="s">
        <v>1299</v>
      </c>
      <c r="R277">
        <v>12</v>
      </c>
      <c r="Z277" s="18" t="s">
        <v>1824</v>
      </c>
    </row>
    <row r="278" spans="16:26" ht="12.75" hidden="1">
      <c r="P278">
        <v>285</v>
      </c>
      <c r="Q278" t="s">
        <v>1302</v>
      </c>
      <c r="R278">
        <v>12</v>
      </c>
      <c r="Z278" s="18" t="s">
        <v>1826</v>
      </c>
    </row>
    <row r="279" spans="16:26" ht="12.75" hidden="1">
      <c r="P279">
        <v>287</v>
      </c>
      <c r="Q279" t="s">
        <v>1155</v>
      </c>
      <c r="R279">
        <v>7</v>
      </c>
      <c r="Z279" s="18" t="s">
        <v>1828</v>
      </c>
    </row>
    <row r="280" spans="16:26" ht="12.75" hidden="1">
      <c r="P280">
        <v>288</v>
      </c>
      <c r="Q280" t="s">
        <v>1158</v>
      </c>
      <c r="R280">
        <v>9</v>
      </c>
      <c r="Z280" s="18" t="s">
        <v>1830</v>
      </c>
    </row>
    <row r="281" spans="16:26" ht="12.75" hidden="1">
      <c r="P281">
        <v>289</v>
      </c>
      <c r="Q281" t="s">
        <v>2324</v>
      </c>
      <c r="R281">
        <v>5</v>
      </c>
      <c r="Z281" s="18" t="s">
        <v>1832</v>
      </c>
    </row>
    <row r="282" spans="16:26" ht="12.75" hidden="1">
      <c r="P282">
        <v>290</v>
      </c>
      <c r="Q282" t="s">
        <v>2327</v>
      </c>
      <c r="R282">
        <v>8</v>
      </c>
      <c r="Z282" s="18" t="s">
        <v>1834</v>
      </c>
    </row>
    <row r="283" spans="16:26" ht="12.75" hidden="1">
      <c r="P283">
        <v>291</v>
      </c>
      <c r="Q283" t="s">
        <v>2330</v>
      </c>
      <c r="R283">
        <v>18</v>
      </c>
      <c r="Z283" s="18" t="s">
        <v>1836</v>
      </c>
    </row>
    <row r="284" spans="16:26" ht="12.75" hidden="1">
      <c r="P284">
        <v>292</v>
      </c>
      <c r="Q284" t="s">
        <v>2335</v>
      </c>
      <c r="R284">
        <v>6</v>
      </c>
      <c r="Z284" s="18" t="s">
        <v>1838</v>
      </c>
    </row>
    <row r="285" spans="16:26" ht="12.75" hidden="1">
      <c r="P285">
        <v>293</v>
      </c>
      <c r="Q285" t="s">
        <v>2341</v>
      </c>
      <c r="R285">
        <v>3</v>
      </c>
      <c r="Z285" s="18" t="s">
        <v>1840</v>
      </c>
    </row>
    <row r="286" spans="16:26" ht="12.75" hidden="1">
      <c r="P286">
        <v>294</v>
      </c>
      <c r="Q286" t="s">
        <v>2344</v>
      </c>
      <c r="R286">
        <v>16</v>
      </c>
      <c r="Z286" s="18" t="s">
        <v>1637</v>
      </c>
    </row>
    <row r="287" spans="16:26" ht="12.75" hidden="1">
      <c r="P287">
        <v>295</v>
      </c>
      <c r="Q287" t="s">
        <v>1290</v>
      </c>
      <c r="R287">
        <v>16</v>
      </c>
      <c r="Z287" s="18" t="s">
        <v>1639</v>
      </c>
    </row>
    <row r="288" spans="16:26" ht="12.75" hidden="1">
      <c r="P288">
        <v>296</v>
      </c>
      <c r="Q288" t="s">
        <v>2347</v>
      </c>
      <c r="R288">
        <v>13</v>
      </c>
      <c r="Z288" s="18" t="s">
        <v>1641</v>
      </c>
    </row>
    <row r="289" spans="16:26" ht="12.75" hidden="1">
      <c r="P289">
        <v>297</v>
      </c>
      <c r="Q289" t="s">
        <v>2350</v>
      </c>
      <c r="R289">
        <v>4</v>
      </c>
      <c r="Z289" s="18" t="s">
        <v>1643</v>
      </c>
    </row>
    <row r="290" spans="16:26" ht="12.75" hidden="1">
      <c r="P290">
        <v>298</v>
      </c>
      <c r="Q290" t="s">
        <v>997</v>
      </c>
      <c r="R290">
        <v>15</v>
      </c>
      <c r="Z290" s="18" t="s">
        <v>2357</v>
      </c>
    </row>
    <row r="291" spans="16:26" ht="12.75" hidden="1">
      <c r="P291">
        <v>299</v>
      </c>
      <c r="Q291" t="s">
        <v>1004</v>
      </c>
      <c r="R291">
        <v>12</v>
      </c>
      <c r="Z291" s="18" t="s">
        <v>2359</v>
      </c>
    </row>
    <row r="292" spans="16:26" ht="12.75" hidden="1">
      <c r="P292">
        <v>300</v>
      </c>
      <c r="Q292" t="s">
        <v>1007</v>
      </c>
      <c r="R292">
        <v>17</v>
      </c>
      <c r="Z292" s="18" t="s">
        <v>2361</v>
      </c>
    </row>
    <row r="293" spans="16:26" ht="12.75" hidden="1">
      <c r="P293">
        <v>301</v>
      </c>
      <c r="Q293" t="s">
        <v>1010</v>
      </c>
      <c r="R293">
        <v>8</v>
      </c>
      <c r="Z293" s="18" t="s">
        <v>2363</v>
      </c>
    </row>
    <row r="294" spans="16:26" ht="12.75" hidden="1">
      <c r="P294">
        <v>302</v>
      </c>
      <c r="Q294" t="s">
        <v>1013</v>
      </c>
      <c r="R294">
        <v>8</v>
      </c>
      <c r="Z294" s="18" t="s">
        <v>2365</v>
      </c>
    </row>
    <row r="295" spans="16:26" ht="12.75" hidden="1">
      <c r="P295">
        <v>303</v>
      </c>
      <c r="Q295" t="s">
        <v>1016</v>
      </c>
      <c r="R295">
        <v>12</v>
      </c>
      <c r="Z295" s="18" t="s">
        <v>2367</v>
      </c>
    </row>
    <row r="296" spans="16:26" ht="12.75" hidden="1">
      <c r="P296">
        <v>304</v>
      </c>
      <c r="Q296" t="s">
        <v>1019</v>
      </c>
      <c r="R296">
        <v>18</v>
      </c>
      <c r="Z296" s="18" t="s">
        <v>2369</v>
      </c>
    </row>
    <row r="297" spans="16:26" ht="12.75" hidden="1">
      <c r="P297">
        <v>306</v>
      </c>
      <c r="Q297" t="s">
        <v>1022</v>
      </c>
      <c r="R297">
        <v>19</v>
      </c>
      <c r="Z297" s="18" t="s">
        <v>2371</v>
      </c>
    </row>
    <row r="298" spans="16:26" ht="12.75" hidden="1">
      <c r="P298">
        <v>307</v>
      </c>
      <c r="Q298" t="s">
        <v>1025</v>
      </c>
      <c r="R298">
        <v>10</v>
      </c>
      <c r="Z298" s="18" t="s">
        <v>353</v>
      </c>
    </row>
    <row r="299" spans="16:26" ht="12.75" hidden="1">
      <c r="P299">
        <v>308</v>
      </c>
      <c r="Q299" t="s">
        <v>1028</v>
      </c>
      <c r="R299">
        <v>19</v>
      </c>
      <c r="Z299" s="18" t="s">
        <v>355</v>
      </c>
    </row>
    <row r="300" spans="16:26" ht="12.75" hidden="1">
      <c r="P300">
        <v>309</v>
      </c>
      <c r="Q300" t="s">
        <v>1034</v>
      </c>
      <c r="R300">
        <v>12</v>
      </c>
      <c r="Z300" s="18" t="s">
        <v>357</v>
      </c>
    </row>
    <row r="301" spans="16:26" ht="12.75" hidden="1">
      <c r="P301">
        <v>310</v>
      </c>
      <c r="Q301" t="s">
        <v>2475</v>
      </c>
      <c r="R301">
        <v>15</v>
      </c>
      <c r="Z301" s="18" t="s">
        <v>359</v>
      </c>
    </row>
    <row r="302" spans="16:26" ht="12.75" hidden="1">
      <c r="P302">
        <v>311</v>
      </c>
      <c r="Q302" t="s">
        <v>1040</v>
      </c>
      <c r="R302">
        <v>2</v>
      </c>
      <c r="Z302" s="18" t="s">
        <v>361</v>
      </c>
    </row>
    <row r="303" spans="16:26" ht="12.75" hidden="1">
      <c r="P303">
        <v>312</v>
      </c>
      <c r="Q303" t="s">
        <v>1232</v>
      </c>
      <c r="R303">
        <v>14</v>
      </c>
      <c r="Z303" s="18" t="s">
        <v>461</v>
      </c>
    </row>
    <row r="304" spans="16:26" ht="12.75" hidden="1">
      <c r="P304">
        <v>313</v>
      </c>
      <c r="Q304" t="s">
        <v>1235</v>
      </c>
      <c r="R304">
        <v>9</v>
      </c>
      <c r="Z304" s="18" t="s">
        <v>463</v>
      </c>
    </row>
    <row r="305" spans="16:26" ht="12.75" hidden="1">
      <c r="P305">
        <v>314</v>
      </c>
      <c r="Q305" t="s">
        <v>1238</v>
      </c>
      <c r="R305">
        <v>17</v>
      </c>
      <c r="Z305" s="18" t="s">
        <v>465</v>
      </c>
    </row>
    <row r="306" spans="16:26" ht="12.75" hidden="1">
      <c r="P306">
        <v>315</v>
      </c>
      <c r="Q306" t="s">
        <v>1244</v>
      </c>
      <c r="R306">
        <v>4</v>
      </c>
      <c r="Z306" s="18" t="s">
        <v>467</v>
      </c>
    </row>
    <row r="307" spans="16:26" ht="12.75" hidden="1">
      <c r="P307">
        <v>316</v>
      </c>
      <c r="Q307" t="s">
        <v>1247</v>
      </c>
      <c r="R307">
        <v>13</v>
      </c>
      <c r="Z307" s="18" t="s">
        <v>469</v>
      </c>
    </row>
    <row r="308" spans="16:26" ht="12.75" hidden="1">
      <c r="P308">
        <v>317</v>
      </c>
      <c r="Q308" t="s">
        <v>1250</v>
      </c>
      <c r="R308">
        <v>13</v>
      </c>
      <c r="Z308" s="18" t="s">
        <v>471</v>
      </c>
    </row>
    <row r="309" spans="16:26" ht="12.75" hidden="1">
      <c r="P309">
        <v>318</v>
      </c>
      <c r="Q309" t="s">
        <v>1253</v>
      </c>
      <c r="R309">
        <v>11</v>
      </c>
      <c r="Z309" s="18" t="s">
        <v>473</v>
      </c>
    </row>
    <row r="310" spans="16:26" ht="12.75" hidden="1">
      <c r="P310">
        <v>320</v>
      </c>
      <c r="Q310" t="s">
        <v>1256</v>
      </c>
      <c r="R310">
        <v>13</v>
      </c>
      <c r="Z310" s="18" t="s">
        <v>475</v>
      </c>
    </row>
    <row r="311" spans="16:26" ht="12.75" hidden="1">
      <c r="P311">
        <v>321</v>
      </c>
      <c r="Q311" t="s">
        <v>1259</v>
      </c>
      <c r="R311">
        <v>18</v>
      </c>
      <c r="Z311" s="18" t="s">
        <v>2003</v>
      </c>
    </row>
    <row r="312" spans="16:26" ht="12.75" hidden="1">
      <c r="P312">
        <v>323</v>
      </c>
      <c r="Q312" t="s">
        <v>1262</v>
      </c>
      <c r="R312">
        <v>9</v>
      </c>
      <c r="Z312" s="18" t="s">
        <v>2005</v>
      </c>
    </row>
    <row r="313" spans="16:26" ht="12.75" hidden="1">
      <c r="P313">
        <v>324</v>
      </c>
      <c r="Q313" t="s">
        <v>277</v>
      </c>
      <c r="R313">
        <v>6</v>
      </c>
      <c r="Z313" s="18" t="s">
        <v>2007</v>
      </c>
    </row>
    <row r="314" spans="16:26" ht="12.75" hidden="1">
      <c r="P314">
        <v>325</v>
      </c>
      <c r="Q314" t="s">
        <v>1121</v>
      </c>
      <c r="R314">
        <v>14</v>
      </c>
      <c r="Z314" s="18" t="s">
        <v>2009</v>
      </c>
    </row>
    <row r="315" spans="16:26" ht="12.75" hidden="1">
      <c r="P315">
        <v>326</v>
      </c>
      <c r="Q315" t="s">
        <v>1124</v>
      </c>
      <c r="R315">
        <v>5</v>
      </c>
      <c r="Z315" s="18" t="s">
        <v>2011</v>
      </c>
    </row>
    <row r="316" spans="16:26" ht="12.75" hidden="1">
      <c r="P316">
        <v>327</v>
      </c>
      <c r="Q316" t="s">
        <v>1127</v>
      </c>
      <c r="R316">
        <v>14</v>
      </c>
      <c r="Z316" s="18" t="s">
        <v>2013</v>
      </c>
    </row>
    <row r="317" spans="16:26" ht="12.75" hidden="1">
      <c r="P317">
        <v>328</v>
      </c>
      <c r="Q317" t="s">
        <v>1130</v>
      </c>
      <c r="R317">
        <v>3</v>
      </c>
      <c r="Z317" s="18" t="s">
        <v>2015</v>
      </c>
    </row>
    <row r="318" spans="16:26" ht="12.75" hidden="1">
      <c r="P318">
        <v>329</v>
      </c>
      <c r="Q318" t="s">
        <v>1423</v>
      </c>
      <c r="R318">
        <v>2</v>
      </c>
      <c r="Z318" s="18" t="s">
        <v>2017</v>
      </c>
    </row>
    <row r="319" spans="16:26" ht="12.75" hidden="1">
      <c r="P319">
        <v>330</v>
      </c>
      <c r="Q319" t="s">
        <v>1426</v>
      </c>
      <c r="R319">
        <v>18</v>
      </c>
      <c r="Z319" s="18" t="s">
        <v>2019</v>
      </c>
    </row>
    <row r="320" spans="16:26" ht="12.75" hidden="1">
      <c r="P320">
        <v>331</v>
      </c>
      <c r="Q320" t="s">
        <v>1432</v>
      </c>
      <c r="R320">
        <v>1</v>
      </c>
      <c r="Z320" s="18" t="s">
        <v>2021</v>
      </c>
    </row>
    <row r="321" spans="16:26" ht="12.75" hidden="1">
      <c r="P321">
        <v>332</v>
      </c>
      <c r="Q321" t="s">
        <v>1435</v>
      </c>
      <c r="R321">
        <v>10</v>
      </c>
      <c r="Z321" s="18" t="s">
        <v>2023</v>
      </c>
    </row>
    <row r="322" spans="16:26" ht="12.75" hidden="1">
      <c r="P322">
        <v>333</v>
      </c>
      <c r="Q322" t="s">
        <v>1758</v>
      </c>
      <c r="R322">
        <v>4</v>
      </c>
      <c r="Z322" s="18" t="s">
        <v>1729</v>
      </c>
    </row>
    <row r="323" spans="16:26" ht="12.75" hidden="1">
      <c r="P323">
        <v>334</v>
      </c>
      <c r="Q323" t="s">
        <v>1761</v>
      </c>
      <c r="R323">
        <v>11</v>
      </c>
      <c r="Z323" s="18" t="s">
        <v>1731</v>
      </c>
    </row>
    <row r="324" spans="16:26" ht="12.75" hidden="1">
      <c r="P324">
        <v>335</v>
      </c>
      <c r="Q324" t="s">
        <v>1767</v>
      </c>
      <c r="R324">
        <v>19</v>
      </c>
      <c r="Z324" s="18" t="s">
        <v>1733</v>
      </c>
    </row>
    <row r="325" spans="16:26" ht="12.75" hidden="1">
      <c r="P325">
        <v>337</v>
      </c>
      <c r="Q325" t="s">
        <v>1770</v>
      </c>
      <c r="R325">
        <v>17</v>
      </c>
      <c r="Z325" s="18" t="s">
        <v>1735</v>
      </c>
    </row>
    <row r="326" spans="16:26" ht="12.75" hidden="1">
      <c r="P326">
        <v>338</v>
      </c>
      <c r="Q326" t="s">
        <v>1773</v>
      </c>
      <c r="R326">
        <v>12</v>
      </c>
      <c r="Z326" s="18" t="s">
        <v>1737</v>
      </c>
    </row>
    <row r="327" spans="16:26" ht="12.75" hidden="1">
      <c r="P327">
        <v>339</v>
      </c>
      <c r="Q327" t="s">
        <v>1776</v>
      </c>
      <c r="R327">
        <v>17</v>
      </c>
      <c r="Z327" s="18" t="s">
        <v>1739</v>
      </c>
    </row>
    <row r="328" spans="16:26" ht="12.75" hidden="1">
      <c r="P328">
        <v>340</v>
      </c>
      <c r="Q328" t="s">
        <v>1779</v>
      </c>
      <c r="R328">
        <v>14</v>
      </c>
      <c r="Z328" s="18" t="s">
        <v>1741</v>
      </c>
    </row>
    <row r="329" spans="16:26" ht="12.75" hidden="1">
      <c r="P329">
        <v>341</v>
      </c>
      <c r="Q329" t="s">
        <v>1367</v>
      </c>
      <c r="R329">
        <v>17</v>
      </c>
      <c r="Z329" s="18" t="s">
        <v>1743</v>
      </c>
    </row>
    <row r="330" spans="16:26" ht="12.75" hidden="1">
      <c r="P330">
        <v>342</v>
      </c>
      <c r="Q330" t="s">
        <v>1370</v>
      </c>
      <c r="R330">
        <v>20</v>
      </c>
      <c r="Z330" s="18" t="s">
        <v>1745</v>
      </c>
    </row>
    <row r="331" spans="16:26" ht="12.75" hidden="1">
      <c r="P331">
        <v>343</v>
      </c>
      <c r="Q331" t="s">
        <v>1373</v>
      </c>
      <c r="R331">
        <v>19</v>
      </c>
      <c r="Z331" s="18" t="s">
        <v>1747</v>
      </c>
    </row>
    <row r="332" spans="16:26" ht="12.75" hidden="1">
      <c r="P332">
        <v>344</v>
      </c>
      <c r="Q332" t="s">
        <v>1379</v>
      </c>
      <c r="R332">
        <v>13</v>
      </c>
      <c r="Z332" s="18" t="s">
        <v>1749</v>
      </c>
    </row>
    <row r="333" spans="16:26" ht="12.75" hidden="1">
      <c r="P333">
        <v>345</v>
      </c>
      <c r="Q333" t="s">
        <v>1382</v>
      </c>
      <c r="R333">
        <v>13</v>
      </c>
      <c r="Z333" s="18" t="s">
        <v>1751</v>
      </c>
    </row>
    <row r="334" spans="16:26" ht="12.75" hidden="1">
      <c r="P334">
        <v>346</v>
      </c>
      <c r="Q334" t="s">
        <v>1385</v>
      </c>
      <c r="R334">
        <v>14</v>
      </c>
      <c r="Z334" s="18" t="s">
        <v>1753</v>
      </c>
    </row>
    <row r="335" spans="16:26" ht="12.75" hidden="1">
      <c r="P335">
        <v>347</v>
      </c>
      <c r="Q335" t="s">
        <v>1388</v>
      </c>
      <c r="R335">
        <v>3</v>
      </c>
      <c r="Z335" s="18" t="s">
        <v>1755</v>
      </c>
    </row>
    <row r="336" spans="16:26" ht="12.75" hidden="1">
      <c r="P336">
        <v>348</v>
      </c>
      <c r="Q336" t="s">
        <v>1391</v>
      </c>
      <c r="R336">
        <v>18</v>
      </c>
      <c r="Z336" s="18" t="s">
        <v>2254</v>
      </c>
    </row>
    <row r="337" spans="16:26" ht="12.75" hidden="1">
      <c r="P337">
        <v>349</v>
      </c>
      <c r="Q337" t="s">
        <v>1394</v>
      </c>
      <c r="R337">
        <v>13</v>
      </c>
      <c r="Z337" s="18" t="s">
        <v>2256</v>
      </c>
    </row>
    <row r="338" spans="16:26" ht="12.75" hidden="1">
      <c r="P338">
        <v>350</v>
      </c>
      <c r="Q338" t="s">
        <v>1397</v>
      </c>
      <c r="R338">
        <v>17</v>
      </c>
      <c r="Z338" s="18" t="s">
        <v>1419</v>
      </c>
    </row>
    <row r="339" spans="16:26" ht="12.75" hidden="1">
      <c r="P339">
        <v>351</v>
      </c>
      <c r="Q339" t="s">
        <v>1403</v>
      </c>
      <c r="R339">
        <v>11</v>
      </c>
      <c r="Z339" s="18" t="s">
        <v>1421</v>
      </c>
    </row>
    <row r="340" spans="16:26" ht="12.75" hidden="1">
      <c r="P340">
        <v>352</v>
      </c>
      <c r="Q340" t="s">
        <v>1406</v>
      </c>
      <c r="R340">
        <v>2</v>
      </c>
      <c r="Z340" s="18" t="s">
        <v>1488</v>
      </c>
    </row>
    <row r="341" spans="16:26" ht="12.75" hidden="1">
      <c r="P341">
        <v>354</v>
      </c>
      <c r="Q341" t="s">
        <v>1797</v>
      </c>
      <c r="R341">
        <v>13</v>
      </c>
      <c r="Z341" s="18" t="s">
        <v>1490</v>
      </c>
    </row>
    <row r="342" spans="16:26" ht="12.75" hidden="1">
      <c r="P342">
        <v>355</v>
      </c>
      <c r="Q342" t="s">
        <v>1800</v>
      </c>
      <c r="R342">
        <v>20</v>
      </c>
      <c r="Z342" s="18" t="s">
        <v>1492</v>
      </c>
    </row>
    <row r="343" spans="16:26" ht="12.75" hidden="1">
      <c r="P343">
        <v>356</v>
      </c>
      <c r="Q343" t="s">
        <v>1974</v>
      </c>
      <c r="R343">
        <v>1</v>
      </c>
      <c r="Z343" s="18" t="s">
        <v>1494</v>
      </c>
    </row>
    <row r="344" spans="16:26" ht="12.75" hidden="1">
      <c r="P344">
        <v>357</v>
      </c>
      <c r="Q344" t="s">
        <v>675</v>
      </c>
      <c r="R344">
        <v>15</v>
      </c>
      <c r="Z344" s="18" t="s">
        <v>1496</v>
      </c>
    </row>
    <row r="345" spans="16:26" ht="12.75" hidden="1">
      <c r="P345">
        <v>358</v>
      </c>
      <c r="Q345" t="s">
        <v>48</v>
      </c>
      <c r="R345">
        <v>17</v>
      </c>
      <c r="Z345" s="18" t="s">
        <v>1498</v>
      </c>
    </row>
    <row r="346" spans="16:26" ht="12.75" hidden="1">
      <c r="P346">
        <v>359</v>
      </c>
      <c r="Q346" t="s">
        <v>51</v>
      </c>
      <c r="R346">
        <v>18</v>
      </c>
      <c r="Z346" s="18" t="s">
        <v>1500</v>
      </c>
    </row>
    <row r="347" spans="16:26" ht="12.75" hidden="1">
      <c r="P347">
        <v>360</v>
      </c>
      <c r="Q347" t="s">
        <v>54</v>
      </c>
      <c r="R347">
        <v>8</v>
      </c>
      <c r="Z347" s="18" t="s">
        <v>1502</v>
      </c>
    </row>
    <row r="348" spans="16:26" ht="12.75" hidden="1">
      <c r="P348">
        <v>361</v>
      </c>
      <c r="Q348" t="s">
        <v>57</v>
      </c>
      <c r="R348">
        <v>14</v>
      </c>
      <c r="Z348" s="18" t="s">
        <v>1504</v>
      </c>
    </row>
    <row r="349" spans="16:26" ht="12.75" hidden="1">
      <c r="P349">
        <v>362</v>
      </c>
      <c r="Q349" t="s">
        <v>60</v>
      </c>
      <c r="R349">
        <v>1</v>
      </c>
      <c r="Z349" s="18" t="s">
        <v>1506</v>
      </c>
    </row>
    <row r="350" spans="16:26" ht="12.75" hidden="1">
      <c r="P350">
        <v>363</v>
      </c>
      <c r="Q350" t="s">
        <v>63</v>
      </c>
      <c r="R350">
        <v>8</v>
      </c>
      <c r="Z350" s="18" t="s">
        <v>1508</v>
      </c>
    </row>
    <row r="351" spans="16:26" ht="12.75" hidden="1">
      <c r="P351">
        <v>364</v>
      </c>
      <c r="Q351" t="s">
        <v>66</v>
      </c>
      <c r="R351">
        <v>2</v>
      </c>
      <c r="Z351" s="18" t="s">
        <v>1510</v>
      </c>
    </row>
    <row r="352" spans="16:26" ht="12.75" hidden="1">
      <c r="P352">
        <v>365</v>
      </c>
      <c r="Q352" t="s">
        <v>72</v>
      </c>
      <c r="R352">
        <v>4</v>
      </c>
      <c r="Z352" s="18" t="s">
        <v>1512</v>
      </c>
    </row>
    <row r="353" spans="16:26" ht="12.75" hidden="1">
      <c r="P353">
        <v>366</v>
      </c>
      <c r="Q353" t="s">
        <v>75</v>
      </c>
      <c r="R353">
        <v>6</v>
      </c>
      <c r="Z353" s="18" t="s">
        <v>1514</v>
      </c>
    </row>
    <row r="354" spans="16:26" ht="12.75" hidden="1">
      <c r="P354">
        <v>368</v>
      </c>
      <c r="Q354" t="s">
        <v>78</v>
      </c>
      <c r="R354">
        <v>18</v>
      </c>
      <c r="Z354" s="18" t="s">
        <v>2309</v>
      </c>
    </row>
    <row r="355" spans="16:26" ht="12.75" hidden="1">
      <c r="P355">
        <v>369</v>
      </c>
      <c r="Q355" t="s">
        <v>350</v>
      </c>
      <c r="R355">
        <v>8</v>
      </c>
      <c r="Z355" s="18" t="s">
        <v>2311</v>
      </c>
    </row>
    <row r="356" spans="16:26" ht="12.75" hidden="1">
      <c r="P356">
        <v>371</v>
      </c>
      <c r="Q356" t="s">
        <v>2450</v>
      </c>
      <c r="R356">
        <v>13</v>
      </c>
      <c r="Z356" s="18" t="s">
        <v>280</v>
      </c>
    </row>
    <row r="357" spans="16:26" ht="12.75" hidden="1">
      <c r="P357">
        <v>372</v>
      </c>
      <c r="Q357" t="s">
        <v>2453</v>
      </c>
      <c r="R357">
        <v>12</v>
      </c>
      <c r="Z357" s="18" t="s">
        <v>282</v>
      </c>
    </row>
    <row r="358" spans="16:26" ht="12.75" hidden="1">
      <c r="P358">
        <v>373</v>
      </c>
      <c r="Q358" t="s">
        <v>2459</v>
      </c>
      <c r="R358">
        <v>8</v>
      </c>
      <c r="Z358" s="18" t="s">
        <v>284</v>
      </c>
    </row>
    <row r="359" spans="16:26" ht="12.75" hidden="1">
      <c r="P359">
        <v>374</v>
      </c>
      <c r="Q359" t="s">
        <v>2465</v>
      </c>
      <c r="R359">
        <v>18</v>
      </c>
      <c r="Z359" s="18" t="s">
        <v>286</v>
      </c>
    </row>
    <row r="360" spans="16:26" ht="12.75" hidden="1">
      <c r="P360">
        <v>375</v>
      </c>
      <c r="Q360" t="s">
        <v>2468</v>
      </c>
      <c r="R360">
        <v>7</v>
      </c>
      <c r="Z360" s="18" t="s">
        <v>288</v>
      </c>
    </row>
    <row r="361" spans="16:26" ht="12.75" hidden="1">
      <c r="P361">
        <v>376</v>
      </c>
      <c r="Q361" t="s">
        <v>2471</v>
      </c>
      <c r="R361">
        <v>1</v>
      </c>
      <c r="Z361" s="18" t="s">
        <v>290</v>
      </c>
    </row>
    <row r="362" spans="16:26" ht="12.75" hidden="1">
      <c r="P362">
        <v>377</v>
      </c>
      <c r="Q362" t="s">
        <v>2477</v>
      </c>
      <c r="R362">
        <v>15</v>
      </c>
      <c r="Z362" s="18" t="s">
        <v>292</v>
      </c>
    </row>
    <row r="363" spans="16:26" ht="12.75" hidden="1">
      <c r="P363">
        <v>378</v>
      </c>
      <c r="Q363" t="s">
        <v>2480</v>
      </c>
      <c r="R363">
        <v>4</v>
      </c>
      <c r="Z363" s="18" t="s">
        <v>294</v>
      </c>
    </row>
    <row r="364" spans="16:26" ht="12.75" hidden="1">
      <c r="P364">
        <v>379</v>
      </c>
      <c r="Q364" t="s">
        <v>2483</v>
      </c>
      <c r="R364">
        <v>13</v>
      </c>
      <c r="Z364" s="18" t="s">
        <v>296</v>
      </c>
    </row>
    <row r="365" spans="16:26" ht="12.75" hidden="1">
      <c r="P365">
        <v>380</v>
      </c>
      <c r="Q365" t="s">
        <v>2486</v>
      </c>
      <c r="R365">
        <v>1</v>
      </c>
      <c r="Z365" s="18" t="s">
        <v>298</v>
      </c>
    </row>
    <row r="366" spans="16:26" ht="12.75" hidden="1">
      <c r="P366">
        <v>381</v>
      </c>
      <c r="Q366" t="s">
        <v>2489</v>
      </c>
      <c r="R366">
        <v>14</v>
      </c>
      <c r="Z366" s="18" t="s">
        <v>300</v>
      </c>
    </row>
    <row r="367" spans="16:26" ht="12.75" hidden="1">
      <c r="P367">
        <v>382</v>
      </c>
      <c r="Q367" t="s">
        <v>1523</v>
      </c>
      <c r="R367">
        <v>17</v>
      </c>
      <c r="Z367" s="18" t="s">
        <v>302</v>
      </c>
    </row>
    <row r="368" spans="16:26" ht="12.75" hidden="1">
      <c r="P368">
        <v>383</v>
      </c>
      <c r="Q368" t="s">
        <v>1526</v>
      </c>
      <c r="R368">
        <v>17</v>
      </c>
      <c r="Z368" s="18" t="s">
        <v>304</v>
      </c>
    </row>
    <row r="369" spans="16:26" ht="12.75" hidden="1">
      <c r="P369">
        <v>385</v>
      </c>
      <c r="Q369" t="s">
        <v>1529</v>
      </c>
      <c r="R369">
        <v>20</v>
      </c>
      <c r="Z369" s="18" t="s">
        <v>2127</v>
      </c>
    </row>
    <row r="370" spans="16:26" ht="12.75" hidden="1">
      <c r="P370">
        <v>386</v>
      </c>
      <c r="Q370" t="s">
        <v>1532</v>
      </c>
      <c r="R370">
        <v>14</v>
      </c>
      <c r="Z370" s="18" t="s">
        <v>2129</v>
      </c>
    </row>
    <row r="371" spans="16:26" ht="12.75" hidden="1">
      <c r="P371">
        <v>387</v>
      </c>
      <c r="Q371" t="s">
        <v>1535</v>
      </c>
      <c r="R371">
        <v>9</v>
      </c>
      <c r="Z371" s="18" t="s">
        <v>2131</v>
      </c>
    </row>
    <row r="372" spans="16:26" ht="12.75" hidden="1">
      <c r="P372">
        <v>388</v>
      </c>
      <c r="Q372" t="s">
        <v>1541</v>
      </c>
      <c r="R372">
        <v>12</v>
      </c>
      <c r="Z372" s="18" t="s">
        <v>2133</v>
      </c>
    </row>
    <row r="373" spans="16:26" ht="12.75" hidden="1">
      <c r="P373">
        <v>389</v>
      </c>
      <c r="Q373" t="s">
        <v>1547</v>
      </c>
      <c r="R373">
        <v>17</v>
      </c>
      <c r="Z373" s="18" t="s">
        <v>2135</v>
      </c>
    </row>
    <row r="374" spans="16:26" ht="12.75" hidden="1">
      <c r="P374">
        <v>390</v>
      </c>
      <c r="Q374" t="s">
        <v>1550</v>
      </c>
      <c r="R374">
        <v>7</v>
      </c>
      <c r="Z374" s="18" t="s">
        <v>2299</v>
      </c>
    </row>
    <row r="375" spans="16:26" ht="12.75" hidden="1">
      <c r="P375">
        <v>391</v>
      </c>
      <c r="Q375" t="s">
        <v>1324</v>
      </c>
      <c r="R375">
        <v>3</v>
      </c>
      <c r="Z375" s="18" t="s">
        <v>2301</v>
      </c>
    </row>
    <row r="376" spans="16:26" ht="12.75" hidden="1">
      <c r="P376">
        <v>393</v>
      </c>
      <c r="Q376" t="s">
        <v>1327</v>
      </c>
      <c r="R376">
        <v>8</v>
      </c>
      <c r="Z376" s="18" t="s">
        <v>2303</v>
      </c>
    </row>
    <row r="377" spans="16:26" ht="12.75" hidden="1">
      <c r="P377">
        <v>394</v>
      </c>
      <c r="Q377" t="s">
        <v>1330</v>
      </c>
      <c r="R377">
        <v>15</v>
      </c>
      <c r="Z377" s="18" t="s">
        <v>2305</v>
      </c>
    </row>
    <row r="378" spans="16:26" ht="12.75" hidden="1">
      <c r="P378">
        <v>395</v>
      </c>
      <c r="Q378" t="s">
        <v>1333</v>
      </c>
      <c r="R378">
        <v>10</v>
      </c>
      <c r="Z378" s="18" t="s">
        <v>2307</v>
      </c>
    </row>
    <row r="379" spans="16:26" ht="12.75" hidden="1">
      <c r="P379">
        <v>396</v>
      </c>
      <c r="Q379" t="s">
        <v>1647</v>
      </c>
      <c r="R379">
        <v>12</v>
      </c>
      <c r="Z379" s="18" t="s">
        <v>193</v>
      </c>
    </row>
    <row r="380" spans="16:26" ht="12.75" hidden="1">
      <c r="P380">
        <v>397</v>
      </c>
      <c r="Q380" t="s">
        <v>1650</v>
      </c>
      <c r="R380">
        <v>12</v>
      </c>
      <c r="Z380" s="18" t="s">
        <v>195</v>
      </c>
    </row>
    <row r="381" spans="16:26" ht="12.75" hidden="1">
      <c r="P381">
        <v>399</v>
      </c>
      <c r="Q381" t="s">
        <v>1653</v>
      </c>
      <c r="R381">
        <v>19</v>
      </c>
      <c r="Z381" s="18" t="s">
        <v>197</v>
      </c>
    </row>
    <row r="382" spans="16:26" ht="12.75" hidden="1">
      <c r="P382">
        <v>400</v>
      </c>
      <c r="Q382" t="s">
        <v>1656</v>
      </c>
      <c r="R382">
        <v>4</v>
      </c>
      <c r="Z382" s="18" t="s">
        <v>199</v>
      </c>
    </row>
    <row r="383" spans="16:26" ht="12.75" hidden="1">
      <c r="P383">
        <v>402</v>
      </c>
      <c r="Q383" t="s">
        <v>1659</v>
      </c>
      <c r="R383">
        <v>19</v>
      </c>
      <c r="Z383" s="18" t="s">
        <v>201</v>
      </c>
    </row>
    <row r="384" spans="16:26" ht="12.75" hidden="1">
      <c r="P384">
        <v>405</v>
      </c>
      <c r="Q384" t="s">
        <v>1197</v>
      </c>
      <c r="R384">
        <v>6</v>
      </c>
      <c r="Z384" s="18" t="s">
        <v>203</v>
      </c>
    </row>
    <row r="385" spans="16:26" ht="12.75" hidden="1">
      <c r="P385">
        <v>406</v>
      </c>
      <c r="Q385" t="s">
        <v>2531</v>
      </c>
      <c r="R385">
        <v>17</v>
      </c>
      <c r="Z385" s="18" t="s">
        <v>205</v>
      </c>
    </row>
    <row r="386" spans="16:26" ht="12.75" hidden="1">
      <c r="P386">
        <v>407</v>
      </c>
      <c r="Q386" t="s">
        <v>2534</v>
      </c>
      <c r="R386">
        <v>10</v>
      </c>
      <c r="Z386" s="18" t="s">
        <v>1957</v>
      </c>
    </row>
    <row r="387" spans="16:26" ht="12.75" hidden="1">
      <c r="P387">
        <v>409</v>
      </c>
      <c r="Q387" t="s">
        <v>2537</v>
      </c>
      <c r="R387">
        <v>17</v>
      </c>
      <c r="Z387" s="18" t="s">
        <v>1959</v>
      </c>
    </row>
    <row r="388" spans="16:26" ht="12.75" hidden="1">
      <c r="P388">
        <v>410</v>
      </c>
      <c r="Q388" t="s">
        <v>2540</v>
      </c>
      <c r="R388">
        <v>5</v>
      </c>
      <c r="Z388" s="18" t="s">
        <v>1961</v>
      </c>
    </row>
    <row r="389" spans="16:26" ht="12.75" hidden="1">
      <c r="P389">
        <v>411</v>
      </c>
      <c r="Q389" t="s">
        <v>2543</v>
      </c>
      <c r="R389">
        <v>13</v>
      </c>
      <c r="Z389" s="18" t="s">
        <v>1963</v>
      </c>
    </row>
    <row r="390" spans="16:26" ht="12.75" hidden="1">
      <c r="P390">
        <v>412</v>
      </c>
      <c r="Q390" t="s">
        <v>2546</v>
      </c>
      <c r="R390">
        <v>12</v>
      </c>
      <c r="Z390" s="18" t="s">
        <v>1965</v>
      </c>
    </row>
    <row r="391" spans="16:26" ht="12.75" hidden="1">
      <c r="P391">
        <v>413</v>
      </c>
      <c r="Q391" t="s">
        <v>2549</v>
      </c>
      <c r="R391">
        <v>17</v>
      </c>
      <c r="Z391" s="18" t="s">
        <v>1967</v>
      </c>
    </row>
    <row r="392" spans="16:26" ht="12.75" hidden="1">
      <c r="P392">
        <v>414</v>
      </c>
      <c r="Q392" t="s">
        <v>2552</v>
      </c>
      <c r="R392">
        <v>16</v>
      </c>
      <c r="Z392" s="18" t="s">
        <v>1200</v>
      </c>
    </row>
    <row r="393" spans="16:26" ht="12.75" hidden="1">
      <c r="P393">
        <v>415</v>
      </c>
      <c r="Q393" t="s">
        <v>2555</v>
      </c>
      <c r="R393">
        <v>16</v>
      </c>
      <c r="Z393" s="18" t="s">
        <v>490</v>
      </c>
    </row>
    <row r="394" spans="16:26" ht="12.75" hidden="1">
      <c r="P394">
        <v>416</v>
      </c>
      <c r="Q394" t="s">
        <v>2558</v>
      </c>
      <c r="R394">
        <v>13</v>
      </c>
      <c r="Z394" s="18" t="s">
        <v>492</v>
      </c>
    </row>
    <row r="395" spans="16:26" ht="12.75" hidden="1">
      <c r="P395">
        <v>418</v>
      </c>
      <c r="Q395" t="s">
        <v>2561</v>
      </c>
      <c r="R395">
        <v>12</v>
      </c>
      <c r="Z395" s="18" t="s">
        <v>494</v>
      </c>
    </row>
    <row r="396" spans="16:26" ht="12.75" hidden="1">
      <c r="P396">
        <v>419</v>
      </c>
      <c r="Q396" t="s">
        <v>2564</v>
      </c>
      <c r="R396">
        <v>19</v>
      </c>
      <c r="Z396" s="18" t="s">
        <v>496</v>
      </c>
    </row>
    <row r="397" spans="16:26" ht="12.75" hidden="1">
      <c r="P397">
        <v>421</v>
      </c>
      <c r="Q397" t="s">
        <v>2570</v>
      </c>
      <c r="R397">
        <v>14</v>
      </c>
      <c r="Z397" s="18" t="s">
        <v>498</v>
      </c>
    </row>
    <row r="398" spans="16:26" ht="12.75" hidden="1">
      <c r="P398">
        <v>422</v>
      </c>
      <c r="Q398" t="s">
        <v>2573</v>
      </c>
      <c r="R398">
        <v>2</v>
      </c>
      <c r="Z398" s="18" t="s">
        <v>500</v>
      </c>
    </row>
    <row r="399" spans="16:26" ht="12.75" hidden="1">
      <c r="P399">
        <v>423</v>
      </c>
      <c r="Q399" t="s">
        <v>2579</v>
      </c>
      <c r="R399">
        <v>17</v>
      </c>
      <c r="Z399" s="18" t="s">
        <v>502</v>
      </c>
    </row>
    <row r="400" spans="16:26" ht="12.75" hidden="1">
      <c r="P400">
        <v>424</v>
      </c>
      <c r="Q400" t="s">
        <v>2582</v>
      </c>
      <c r="R400">
        <v>10</v>
      </c>
      <c r="Z400" s="18" t="s">
        <v>504</v>
      </c>
    </row>
    <row r="401" spans="16:26" ht="12.75" hidden="1">
      <c r="P401">
        <v>425</v>
      </c>
      <c r="Q401" t="s">
        <v>2585</v>
      </c>
      <c r="R401">
        <v>13</v>
      </c>
      <c r="Z401" s="18" t="s">
        <v>506</v>
      </c>
    </row>
    <row r="402" spans="16:26" ht="12.75" hidden="1">
      <c r="P402">
        <v>426</v>
      </c>
      <c r="Q402" t="s">
        <v>2588</v>
      </c>
      <c r="R402">
        <v>3</v>
      </c>
      <c r="Z402" s="18" t="s">
        <v>508</v>
      </c>
    </row>
    <row r="403" spans="16:26" ht="12.75" hidden="1">
      <c r="P403">
        <v>427</v>
      </c>
      <c r="Q403" t="s">
        <v>2591</v>
      </c>
      <c r="R403">
        <v>17</v>
      </c>
      <c r="Z403" s="18" t="s">
        <v>510</v>
      </c>
    </row>
    <row r="404" spans="16:26" ht="12.75" hidden="1">
      <c r="P404">
        <v>428</v>
      </c>
      <c r="Q404" t="s">
        <v>107</v>
      </c>
      <c r="R404">
        <v>13</v>
      </c>
      <c r="Z404" s="18" t="s">
        <v>512</v>
      </c>
    </row>
    <row r="405" spans="16:26" ht="12.75" hidden="1">
      <c r="P405">
        <v>429</v>
      </c>
      <c r="Q405" t="s">
        <v>113</v>
      </c>
      <c r="R405">
        <v>1</v>
      </c>
      <c r="Z405" s="18" t="s">
        <v>514</v>
      </c>
    </row>
    <row r="406" spans="16:26" ht="12.75" hidden="1">
      <c r="P406">
        <v>430</v>
      </c>
      <c r="Q406" t="s">
        <v>1350</v>
      </c>
      <c r="R406">
        <v>2</v>
      </c>
      <c r="Z406" s="18" t="s">
        <v>1307</v>
      </c>
    </row>
    <row r="407" spans="16:26" ht="12.75" hidden="1">
      <c r="P407">
        <v>431</v>
      </c>
      <c r="Q407" t="s">
        <v>1353</v>
      </c>
      <c r="R407">
        <v>18</v>
      </c>
      <c r="Z407" s="18" t="s">
        <v>1309</v>
      </c>
    </row>
    <row r="408" spans="16:26" ht="12.75" hidden="1">
      <c r="P408">
        <v>432</v>
      </c>
      <c r="Q408" t="s">
        <v>98</v>
      </c>
      <c r="R408">
        <v>18</v>
      </c>
      <c r="Z408" s="18" t="s">
        <v>1311</v>
      </c>
    </row>
    <row r="409" spans="16:26" ht="12.75" hidden="1">
      <c r="P409">
        <v>433</v>
      </c>
      <c r="Q409" t="s">
        <v>1056</v>
      </c>
      <c r="R409">
        <v>18</v>
      </c>
      <c r="Z409" s="18" t="s">
        <v>1313</v>
      </c>
    </row>
    <row r="410" spans="16:26" ht="12.75" hidden="1">
      <c r="P410">
        <v>435</v>
      </c>
      <c r="Q410" t="s">
        <v>1059</v>
      </c>
      <c r="R410">
        <v>18</v>
      </c>
      <c r="Z410" s="18" t="s">
        <v>943</v>
      </c>
    </row>
    <row r="411" spans="16:26" ht="12.75" hidden="1">
      <c r="P411">
        <v>436</v>
      </c>
      <c r="Q411" t="s">
        <v>101</v>
      </c>
      <c r="R411">
        <v>1</v>
      </c>
      <c r="Z411" s="18" t="s">
        <v>945</v>
      </c>
    </row>
    <row r="412" spans="16:26" ht="12.75" hidden="1">
      <c r="P412">
        <v>437</v>
      </c>
      <c r="Q412" t="s">
        <v>104</v>
      </c>
      <c r="R412">
        <v>5</v>
      </c>
      <c r="Z412" s="18" t="s">
        <v>1697</v>
      </c>
    </row>
    <row r="413" spans="16:26" ht="12.75" hidden="1">
      <c r="P413">
        <v>438</v>
      </c>
      <c r="Q413" t="s">
        <v>110</v>
      </c>
      <c r="R413">
        <v>5</v>
      </c>
      <c r="Z413" s="18" t="s">
        <v>1699</v>
      </c>
    </row>
    <row r="414" spans="16:26" ht="12.75" hidden="1">
      <c r="P414">
        <v>439</v>
      </c>
      <c r="Q414" t="s">
        <v>116</v>
      </c>
      <c r="R414">
        <v>6</v>
      </c>
      <c r="Z414" s="18" t="s">
        <v>1701</v>
      </c>
    </row>
    <row r="415" spans="16:26" ht="12.75" hidden="1">
      <c r="P415">
        <v>440</v>
      </c>
      <c r="Q415" t="s">
        <v>119</v>
      </c>
      <c r="R415">
        <v>20</v>
      </c>
      <c r="Z415" s="18" t="s">
        <v>1703</v>
      </c>
    </row>
    <row r="416" spans="16:26" ht="12.75" hidden="1">
      <c r="P416">
        <v>441</v>
      </c>
      <c r="Q416" t="s">
        <v>1356</v>
      </c>
      <c r="R416">
        <v>20</v>
      </c>
      <c r="Z416" s="18" t="s">
        <v>1705</v>
      </c>
    </row>
    <row r="417" spans="16:26" ht="12.75" hidden="1">
      <c r="P417">
        <v>442</v>
      </c>
      <c r="Q417" t="s">
        <v>1053</v>
      </c>
      <c r="R417">
        <v>6</v>
      </c>
      <c r="Z417" s="18" t="s">
        <v>174</v>
      </c>
    </row>
    <row r="418" spans="16:26" ht="12.75" hidden="1">
      <c r="P418">
        <v>443</v>
      </c>
      <c r="Q418" t="s">
        <v>1068</v>
      </c>
      <c r="R418">
        <v>17</v>
      </c>
      <c r="Z418" s="18" t="s">
        <v>176</v>
      </c>
    </row>
    <row r="419" spans="16:26" ht="12.75" hidden="1">
      <c r="P419">
        <v>444</v>
      </c>
      <c r="Q419" t="s">
        <v>1071</v>
      </c>
      <c r="R419">
        <v>15</v>
      </c>
      <c r="Z419" s="18" t="s">
        <v>178</v>
      </c>
    </row>
    <row r="420" spans="16:26" ht="12.75" hidden="1">
      <c r="P420">
        <v>445</v>
      </c>
      <c r="Q420" t="s">
        <v>1074</v>
      </c>
      <c r="R420">
        <v>13</v>
      </c>
      <c r="Z420" s="18" t="s">
        <v>180</v>
      </c>
    </row>
    <row r="421" spans="16:26" ht="12.75" hidden="1">
      <c r="P421">
        <v>447</v>
      </c>
      <c r="Q421" t="s">
        <v>1080</v>
      </c>
      <c r="R421">
        <v>17</v>
      </c>
      <c r="Z421" s="18" t="s">
        <v>182</v>
      </c>
    </row>
    <row r="422" spans="16:26" ht="12.75" hidden="1">
      <c r="P422">
        <v>449</v>
      </c>
      <c r="Q422" t="s">
        <v>1083</v>
      </c>
      <c r="R422">
        <v>10</v>
      </c>
      <c r="Z422" s="18" t="s">
        <v>2602</v>
      </c>
    </row>
    <row r="423" spans="16:26" ht="12.75" hidden="1">
      <c r="P423">
        <v>450</v>
      </c>
      <c r="Q423" t="s">
        <v>1086</v>
      </c>
      <c r="R423">
        <v>7</v>
      </c>
      <c r="Z423" s="18" t="s">
        <v>251</v>
      </c>
    </row>
    <row r="424" spans="16:26" ht="12.75" hidden="1">
      <c r="P424">
        <v>452</v>
      </c>
      <c r="Q424" t="s">
        <v>141</v>
      </c>
      <c r="R424">
        <v>20</v>
      </c>
      <c r="Z424" s="18" t="s">
        <v>253</v>
      </c>
    </row>
    <row r="425" spans="16:26" ht="12.75" hidden="1">
      <c r="P425">
        <v>453</v>
      </c>
      <c r="Q425" t="s">
        <v>1282</v>
      </c>
      <c r="R425">
        <v>18</v>
      </c>
      <c r="Z425" s="18" t="s">
        <v>255</v>
      </c>
    </row>
    <row r="426" spans="16:26" ht="12.75" hidden="1">
      <c r="P426">
        <v>454</v>
      </c>
      <c r="Q426" t="s">
        <v>1285</v>
      </c>
      <c r="R426">
        <v>15</v>
      </c>
      <c r="Z426" s="18" t="s">
        <v>230</v>
      </c>
    </row>
    <row r="427" spans="16:26" ht="12.75" hidden="1">
      <c r="P427">
        <v>455</v>
      </c>
      <c r="Q427" t="s">
        <v>1764</v>
      </c>
      <c r="R427">
        <v>9</v>
      </c>
      <c r="Z427" s="18" t="s">
        <v>232</v>
      </c>
    </row>
    <row r="428" spans="16:26" ht="12.75" hidden="1">
      <c r="P428">
        <v>456</v>
      </c>
      <c r="Q428" t="s">
        <v>1291</v>
      </c>
      <c r="R428">
        <v>16</v>
      </c>
      <c r="Z428" s="18" t="s">
        <v>165</v>
      </c>
    </row>
    <row r="429" spans="16:26" ht="12.75" hidden="1">
      <c r="P429">
        <v>457</v>
      </c>
      <c r="Q429" t="s">
        <v>1294</v>
      </c>
      <c r="R429">
        <v>3</v>
      </c>
      <c r="Z429" s="18" t="s">
        <v>310</v>
      </c>
    </row>
    <row r="430" spans="16:26" ht="12.75" hidden="1">
      <c r="P430">
        <v>458</v>
      </c>
      <c r="Q430" t="s">
        <v>1297</v>
      </c>
      <c r="R430">
        <v>16</v>
      </c>
      <c r="Z430" s="18" t="s">
        <v>312</v>
      </c>
    </row>
    <row r="431" spans="16:26" ht="12.75" hidden="1">
      <c r="P431">
        <v>459</v>
      </c>
      <c r="Q431" t="s">
        <v>1153</v>
      </c>
      <c r="R431">
        <v>16</v>
      </c>
      <c r="Z431" s="18" t="s">
        <v>314</v>
      </c>
    </row>
    <row r="432" spans="16:26" ht="12.75" hidden="1">
      <c r="P432">
        <v>460</v>
      </c>
      <c r="Q432" t="s">
        <v>1159</v>
      </c>
      <c r="R432">
        <v>17</v>
      </c>
      <c r="Z432" s="18" t="s">
        <v>316</v>
      </c>
    </row>
    <row r="433" spans="16:26" ht="12.75" hidden="1">
      <c r="P433">
        <v>461</v>
      </c>
      <c r="Q433" t="s">
        <v>2322</v>
      </c>
      <c r="R433">
        <v>14</v>
      </c>
      <c r="Z433" s="18" t="s">
        <v>1001</v>
      </c>
    </row>
    <row r="434" spans="16:26" ht="12.75" hidden="1">
      <c r="P434">
        <v>462</v>
      </c>
      <c r="Q434" t="s">
        <v>2325</v>
      </c>
      <c r="R434">
        <v>5</v>
      </c>
      <c r="Z434" s="18" t="s">
        <v>1003</v>
      </c>
    </row>
    <row r="435" spans="16:26" ht="12.75" hidden="1">
      <c r="P435">
        <v>463</v>
      </c>
      <c r="Q435" t="s">
        <v>2328</v>
      </c>
      <c r="R435">
        <v>17</v>
      </c>
      <c r="Z435" s="18" t="s">
        <v>146</v>
      </c>
    </row>
    <row r="436" spans="16:26" ht="12.75" hidden="1">
      <c r="P436">
        <v>464</v>
      </c>
      <c r="Q436" t="s">
        <v>2333</v>
      </c>
      <c r="R436">
        <v>16</v>
      </c>
      <c r="Z436" s="18" t="s">
        <v>148</v>
      </c>
    </row>
    <row r="437" spans="16:26" ht="12.75" hidden="1">
      <c r="P437">
        <v>466</v>
      </c>
      <c r="Q437" t="s">
        <v>2339</v>
      </c>
      <c r="R437">
        <v>2</v>
      </c>
      <c r="Z437" s="18" t="s">
        <v>150</v>
      </c>
    </row>
    <row r="438" spans="16:26" ht="12.75" hidden="1">
      <c r="P438">
        <v>467</v>
      </c>
      <c r="Q438" t="s">
        <v>2342</v>
      </c>
      <c r="R438">
        <v>9</v>
      </c>
      <c r="Z438" s="18" t="s">
        <v>152</v>
      </c>
    </row>
    <row r="439" spans="16:26" ht="12.75" hidden="1">
      <c r="P439">
        <v>468</v>
      </c>
      <c r="Q439" t="s">
        <v>2345</v>
      </c>
      <c r="R439">
        <v>18</v>
      </c>
      <c r="Z439" s="18" t="s">
        <v>154</v>
      </c>
    </row>
    <row r="440" spans="16:26" ht="12.75" hidden="1">
      <c r="P440">
        <v>469</v>
      </c>
      <c r="Q440" t="s">
        <v>2348</v>
      </c>
      <c r="R440">
        <v>15</v>
      </c>
      <c r="Z440" s="18" t="s">
        <v>2519</v>
      </c>
    </row>
    <row r="441" spans="16:26" ht="12.75" hidden="1">
      <c r="P441">
        <v>471</v>
      </c>
      <c r="Q441" t="s">
        <v>2351</v>
      </c>
      <c r="R441">
        <v>14</v>
      </c>
      <c r="Z441" s="18" t="s">
        <v>2521</v>
      </c>
    </row>
    <row r="442" spans="16:26" ht="12.75" hidden="1">
      <c r="P442">
        <v>472</v>
      </c>
      <c r="Q442" t="s">
        <v>2354</v>
      </c>
      <c r="R442">
        <v>5</v>
      </c>
      <c r="Z442" s="18" t="s">
        <v>2523</v>
      </c>
    </row>
    <row r="443" spans="16:26" ht="12.75" hidden="1">
      <c r="P443">
        <v>473</v>
      </c>
      <c r="Q443" t="s">
        <v>1005</v>
      </c>
      <c r="R443">
        <v>5</v>
      </c>
      <c r="Z443" s="18" t="s">
        <v>2525</v>
      </c>
    </row>
    <row r="444" spans="16:26" ht="12.75" hidden="1">
      <c r="P444">
        <v>474</v>
      </c>
      <c r="Q444" t="s">
        <v>1008</v>
      </c>
      <c r="R444">
        <v>19</v>
      </c>
      <c r="Z444" s="18" t="s">
        <v>2527</v>
      </c>
    </row>
    <row r="445" spans="16:26" ht="12.75" hidden="1">
      <c r="P445">
        <v>475</v>
      </c>
      <c r="Q445" t="s">
        <v>1011</v>
      </c>
      <c r="R445">
        <v>11</v>
      </c>
      <c r="Z445" s="18" t="s">
        <v>2529</v>
      </c>
    </row>
    <row r="446" spans="16:26" ht="12.75" hidden="1">
      <c r="P446">
        <v>476</v>
      </c>
      <c r="Q446" t="s">
        <v>1017</v>
      </c>
      <c r="R446">
        <v>12</v>
      </c>
      <c r="Z446" s="18" t="s">
        <v>1438</v>
      </c>
    </row>
    <row r="447" spans="16:26" ht="12.75" hidden="1">
      <c r="P447">
        <v>477</v>
      </c>
      <c r="Q447" t="s">
        <v>1020</v>
      </c>
      <c r="R447">
        <v>3</v>
      </c>
      <c r="Z447" s="18" t="s">
        <v>1440</v>
      </c>
    </row>
    <row r="448" spans="16:26" ht="12.75" hidden="1">
      <c r="P448">
        <v>478</v>
      </c>
      <c r="Q448" t="s">
        <v>1023</v>
      </c>
      <c r="R448">
        <v>7</v>
      </c>
      <c r="Z448" s="18" t="s">
        <v>1442</v>
      </c>
    </row>
    <row r="449" spans="16:26" ht="12.75" hidden="1">
      <c r="P449">
        <v>480</v>
      </c>
      <c r="Q449" t="s">
        <v>1032</v>
      </c>
      <c r="R449">
        <v>7</v>
      </c>
      <c r="Z449" s="18" t="s">
        <v>1444</v>
      </c>
    </row>
    <row r="450" spans="16:26" ht="12.75" hidden="1">
      <c r="P450">
        <v>481</v>
      </c>
      <c r="Q450" t="s">
        <v>1035</v>
      </c>
      <c r="R450">
        <v>2</v>
      </c>
      <c r="Z450" s="18" t="s">
        <v>1446</v>
      </c>
    </row>
    <row r="451" spans="16:26" ht="12.75" hidden="1">
      <c r="P451">
        <v>483</v>
      </c>
      <c r="Q451" t="s">
        <v>1038</v>
      </c>
      <c r="R451">
        <v>7</v>
      </c>
      <c r="Z451" s="18" t="s">
        <v>1448</v>
      </c>
    </row>
    <row r="452" spans="16:26" ht="12.75" hidden="1">
      <c r="P452">
        <v>484</v>
      </c>
      <c r="Q452" t="s">
        <v>1230</v>
      </c>
      <c r="R452">
        <v>5</v>
      </c>
      <c r="Z452" s="18" t="s">
        <v>1450</v>
      </c>
    </row>
    <row r="453" spans="16:26" ht="12.75" hidden="1">
      <c r="P453">
        <v>485</v>
      </c>
      <c r="Q453" t="s">
        <v>1233</v>
      </c>
      <c r="R453">
        <v>14</v>
      </c>
      <c r="Z453" s="18" t="s">
        <v>1452</v>
      </c>
    </row>
    <row r="454" spans="16:26" ht="12.75" hidden="1">
      <c r="P454">
        <v>486</v>
      </c>
      <c r="Q454" t="s">
        <v>1236</v>
      </c>
      <c r="R454">
        <v>5</v>
      </c>
      <c r="Z454" s="18" t="s">
        <v>1454</v>
      </c>
    </row>
    <row r="455" spans="16:26" ht="12.75" hidden="1">
      <c r="P455">
        <v>487</v>
      </c>
      <c r="Q455" t="s">
        <v>1239</v>
      </c>
      <c r="R455">
        <v>16</v>
      </c>
      <c r="Z455" s="18" t="s">
        <v>409</v>
      </c>
    </row>
    <row r="456" spans="16:26" ht="12.75" hidden="1">
      <c r="P456">
        <v>488</v>
      </c>
      <c r="Q456" t="s">
        <v>1242</v>
      </c>
      <c r="R456">
        <v>8</v>
      </c>
      <c r="Z456" s="18" t="s">
        <v>411</v>
      </c>
    </row>
    <row r="457" spans="16:26" ht="12.75" hidden="1">
      <c r="P457">
        <v>489</v>
      </c>
      <c r="Q457" t="s">
        <v>1245</v>
      </c>
      <c r="R457">
        <v>13</v>
      </c>
      <c r="Z457" s="18" t="s">
        <v>413</v>
      </c>
    </row>
    <row r="458" spans="16:26" ht="12.75" hidden="1">
      <c r="P458">
        <v>490</v>
      </c>
      <c r="Q458" t="s">
        <v>1248</v>
      </c>
      <c r="R458">
        <v>6</v>
      </c>
      <c r="Z458" s="18" t="s">
        <v>415</v>
      </c>
    </row>
    <row r="459" spans="16:26" ht="12.75" hidden="1">
      <c r="P459">
        <v>491</v>
      </c>
      <c r="Q459" t="s">
        <v>1251</v>
      </c>
      <c r="R459">
        <v>10</v>
      </c>
      <c r="Z459" s="18" t="s">
        <v>417</v>
      </c>
    </row>
    <row r="460" spans="16:26" ht="12.75" hidden="1">
      <c r="P460">
        <v>492</v>
      </c>
      <c r="Q460" t="s">
        <v>1254</v>
      </c>
      <c r="R460">
        <v>17</v>
      </c>
      <c r="Z460" s="18" t="s">
        <v>419</v>
      </c>
    </row>
    <row r="461" spans="16:26" ht="12.75" hidden="1">
      <c r="P461">
        <v>493</v>
      </c>
      <c r="Q461" t="s">
        <v>1257</v>
      </c>
      <c r="R461">
        <v>5</v>
      </c>
      <c r="Z461" s="18" t="s">
        <v>421</v>
      </c>
    </row>
    <row r="462" spans="16:26" ht="12.75" hidden="1">
      <c r="P462">
        <v>494</v>
      </c>
      <c r="Q462" t="s">
        <v>1260</v>
      </c>
      <c r="R462">
        <v>14</v>
      </c>
      <c r="Z462" s="18" t="s">
        <v>423</v>
      </c>
    </row>
    <row r="463" spans="16:26" ht="12.75" hidden="1">
      <c r="P463">
        <v>495</v>
      </c>
      <c r="Q463" t="s">
        <v>1263</v>
      </c>
      <c r="R463">
        <v>8</v>
      </c>
      <c r="Z463" s="18" t="s">
        <v>425</v>
      </c>
    </row>
    <row r="464" spans="16:26" ht="12.75" hidden="1">
      <c r="P464">
        <v>497</v>
      </c>
      <c r="Q464" t="s">
        <v>278</v>
      </c>
      <c r="R464">
        <v>18</v>
      </c>
      <c r="Z464" s="18" t="s">
        <v>427</v>
      </c>
    </row>
    <row r="465" spans="16:26" ht="12.75" hidden="1">
      <c r="P465">
        <v>498</v>
      </c>
      <c r="Q465" t="s">
        <v>1122</v>
      </c>
      <c r="R465">
        <v>18</v>
      </c>
      <c r="Z465" s="18" t="s">
        <v>429</v>
      </c>
    </row>
    <row r="466" spans="16:26" ht="12.75" hidden="1">
      <c r="P466">
        <v>499</v>
      </c>
      <c r="Q466" t="s">
        <v>1128</v>
      </c>
      <c r="R466">
        <v>10</v>
      </c>
      <c r="Z466" s="18" t="s">
        <v>431</v>
      </c>
    </row>
    <row r="467" spans="16:26" ht="12.75" hidden="1">
      <c r="P467">
        <v>500</v>
      </c>
      <c r="Q467" t="s">
        <v>1131</v>
      </c>
      <c r="R467">
        <v>15</v>
      </c>
      <c r="Z467" s="18" t="s">
        <v>433</v>
      </c>
    </row>
    <row r="468" spans="16:26" ht="12.75" hidden="1">
      <c r="P468">
        <v>502</v>
      </c>
      <c r="Q468" t="s">
        <v>1424</v>
      </c>
      <c r="R468">
        <v>18</v>
      </c>
      <c r="Z468" s="18" t="s">
        <v>435</v>
      </c>
    </row>
    <row r="469" spans="16:26" ht="12.75" hidden="1">
      <c r="P469">
        <v>503</v>
      </c>
      <c r="Q469" t="s">
        <v>1430</v>
      </c>
      <c r="R469">
        <v>4</v>
      </c>
      <c r="Z469" s="18" t="s">
        <v>437</v>
      </c>
    </row>
    <row r="470" spans="16:26" ht="12.75" hidden="1">
      <c r="P470">
        <v>504</v>
      </c>
      <c r="Q470" t="s">
        <v>1433</v>
      </c>
      <c r="R470">
        <v>20</v>
      </c>
      <c r="Z470" s="18" t="s">
        <v>439</v>
      </c>
    </row>
    <row r="471" spans="16:26" ht="12.75" hidden="1">
      <c r="P471">
        <v>505</v>
      </c>
      <c r="Q471" t="s">
        <v>1756</v>
      </c>
      <c r="R471">
        <v>16</v>
      </c>
      <c r="Z471" s="18" t="s">
        <v>441</v>
      </c>
    </row>
    <row r="472" spans="16:26" ht="12.75" hidden="1">
      <c r="P472">
        <v>506</v>
      </c>
      <c r="Q472" t="s">
        <v>1759</v>
      </c>
      <c r="R472">
        <v>12</v>
      </c>
      <c r="Z472" s="18" t="s">
        <v>443</v>
      </c>
    </row>
    <row r="473" spans="16:26" ht="12.75" hidden="1">
      <c r="P473">
        <v>507</v>
      </c>
      <c r="Q473" t="s">
        <v>1762</v>
      </c>
      <c r="R473">
        <v>8</v>
      </c>
      <c r="Z473" s="18" t="s">
        <v>445</v>
      </c>
    </row>
    <row r="474" spans="16:26" ht="12.75" hidden="1">
      <c r="P474">
        <v>508</v>
      </c>
      <c r="Q474" t="s">
        <v>1765</v>
      </c>
      <c r="R474">
        <v>1</v>
      </c>
      <c r="Z474" s="18" t="s">
        <v>447</v>
      </c>
    </row>
    <row r="475" spans="16:26" ht="12.75" hidden="1">
      <c r="P475">
        <v>509</v>
      </c>
      <c r="Q475" t="s">
        <v>1768</v>
      </c>
      <c r="R475">
        <v>8</v>
      </c>
      <c r="Z475" s="18" t="s">
        <v>449</v>
      </c>
    </row>
    <row r="476" spans="16:26" ht="12.75" hidden="1">
      <c r="P476">
        <v>510</v>
      </c>
      <c r="Q476" t="s">
        <v>1264</v>
      </c>
      <c r="R476">
        <v>3</v>
      </c>
      <c r="Z476" s="18" t="s">
        <v>451</v>
      </c>
    </row>
    <row r="477" spans="16:26" ht="12.75" hidden="1">
      <c r="P477">
        <v>511</v>
      </c>
      <c r="Q477" t="s">
        <v>1771</v>
      </c>
      <c r="R477">
        <v>17</v>
      </c>
      <c r="Z477" s="18" t="s">
        <v>453</v>
      </c>
    </row>
    <row r="478" spans="16:26" ht="12.75" hidden="1">
      <c r="P478">
        <v>512</v>
      </c>
      <c r="Q478" t="s">
        <v>1774</v>
      </c>
      <c r="R478">
        <v>9</v>
      </c>
      <c r="Z478" s="18" t="s">
        <v>455</v>
      </c>
    </row>
    <row r="479" spans="16:26" ht="12.75" hidden="1">
      <c r="P479">
        <v>513</v>
      </c>
      <c r="Q479" t="s">
        <v>1777</v>
      </c>
      <c r="R479">
        <v>17</v>
      </c>
      <c r="Z479" s="18" t="s">
        <v>457</v>
      </c>
    </row>
    <row r="480" spans="16:26" ht="12.75" hidden="1">
      <c r="P480">
        <v>514</v>
      </c>
      <c r="Q480" t="s">
        <v>1780</v>
      </c>
      <c r="R480">
        <v>12</v>
      </c>
      <c r="Z480" s="18" t="s">
        <v>333</v>
      </c>
    </row>
    <row r="481" spans="16:26" ht="12.75" hidden="1">
      <c r="P481">
        <v>516</v>
      </c>
      <c r="Q481" t="s">
        <v>1783</v>
      </c>
      <c r="R481">
        <v>18</v>
      </c>
      <c r="Z481" s="18" t="s">
        <v>335</v>
      </c>
    </row>
    <row r="482" spans="16:26" ht="12.75" hidden="1">
      <c r="P482">
        <v>517</v>
      </c>
      <c r="Q482" t="s">
        <v>1368</v>
      </c>
      <c r="R482">
        <v>14</v>
      </c>
      <c r="Z482" s="18" t="s">
        <v>2105</v>
      </c>
    </row>
    <row r="483" spans="16:26" ht="12.75" hidden="1">
      <c r="P483">
        <v>518</v>
      </c>
      <c r="Q483" t="s">
        <v>1371</v>
      </c>
      <c r="R483">
        <v>16</v>
      </c>
      <c r="Z483" s="18" t="s">
        <v>2492</v>
      </c>
    </row>
    <row r="484" spans="16:26" ht="12.75" hidden="1">
      <c r="P484">
        <v>519</v>
      </c>
      <c r="Q484" t="s">
        <v>1374</v>
      </c>
      <c r="R484">
        <v>2</v>
      </c>
      <c r="Z484" s="18" t="s">
        <v>2494</v>
      </c>
    </row>
    <row r="485" spans="16:26" ht="12.75" hidden="1">
      <c r="P485">
        <v>520</v>
      </c>
      <c r="Q485" t="s">
        <v>1377</v>
      </c>
      <c r="R485">
        <v>13</v>
      </c>
      <c r="Z485" s="18" t="s">
        <v>2496</v>
      </c>
    </row>
    <row r="486" spans="16:26" ht="12.75" hidden="1">
      <c r="P486">
        <v>521</v>
      </c>
      <c r="Q486" t="s">
        <v>1383</v>
      </c>
      <c r="R486">
        <v>2</v>
      </c>
      <c r="Z486" s="18" t="s">
        <v>2498</v>
      </c>
    </row>
    <row r="487" spans="16:26" ht="12.75" hidden="1">
      <c r="P487">
        <v>522</v>
      </c>
      <c r="Q487" t="s">
        <v>1389</v>
      </c>
      <c r="R487">
        <v>17</v>
      </c>
      <c r="Z487" s="18" t="s">
        <v>2500</v>
      </c>
    </row>
    <row r="488" spans="16:26" ht="12.75" hidden="1">
      <c r="P488">
        <v>523</v>
      </c>
      <c r="Q488" t="s">
        <v>1395</v>
      </c>
      <c r="R488">
        <v>19</v>
      </c>
      <c r="Z488" s="18" t="s">
        <v>2502</v>
      </c>
    </row>
    <row r="489" spans="16:26" ht="12.75" hidden="1">
      <c r="P489">
        <v>524</v>
      </c>
      <c r="Q489" t="s">
        <v>1398</v>
      </c>
      <c r="R489">
        <v>10</v>
      </c>
      <c r="Z489" s="18" t="s">
        <v>2504</v>
      </c>
    </row>
    <row r="490" spans="16:26" ht="12.75" hidden="1">
      <c r="P490">
        <v>525</v>
      </c>
      <c r="Q490" t="s">
        <v>1401</v>
      </c>
      <c r="R490">
        <v>13</v>
      </c>
      <c r="Z490" s="18" t="s">
        <v>2506</v>
      </c>
    </row>
    <row r="491" spans="16:26" ht="12.75" hidden="1">
      <c r="P491">
        <v>526</v>
      </c>
      <c r="Q491" t="s">
        <v>1404</v>
      </c>
      <c r="R491">
        <v>2</v>
      </c>
      <c r="Z491" s="18" t="s">
        <v>2508</v>
      </c>
    </row>
    <row r="492" spans="16:26" ht="12.75" hidden="1">
      <c r="P492">
        <v>527</v>
      </c>
      <c r="Q492" t="s">
        <v>1407</v>
      </c>
      <c r="R492">
        <v>2</v>
      </c>
      <c r="Z492" s="18" t="s">
        <v>2510</v>
      </c>
    </row>
    <row r="493" spans="16:26" ht="12.75" hidden="1">
      <c r="P493">
        <v>528</v>
      </c>
      <c r="Q493" t="s">
        <v>1798</v>
      </c>
      <c r="R493">
        <v>17</v>
      </c>
      <c r="Z493" s="18" t="s">
        <v>2512</v>
      </c>
    </row>
    <row r="494" spans="16:26" ht="12.75" hidden="1">
      <c r="P494">
        <v>530</v>
      </c>
      <c r="Q494" t="s">
        <v>1975</v>
      </c>
      <c r="R494">
        <v>4</v>
      </c>
      <c r="Z494" s="18" t="s">
        <v>2514</v>
      </c>
    </row>
    <row r="495" spans="16:26" ht="12.75" hidden="1">
      <c r="P495">
        <v>531</v>
      </c>
      <c r="Q495" t="s">
        <v>1978</v>
      </c>
      <c r="R495">
        <v>18</v>
      </c>
      <c r="Z495" s="18" t="s">
        <v>2516</v>
      </c>
    </row>
    <row r="496" spans="16:26" ht="12.75" hidden="1">
      <c r="P496">
        <v>533</v>
      </c>
      <c r="Q496" t="s">
        <v>2485</v>
      </c>
      <c r="R496">
        <v>1</v>
      </c>
      <c r="Z496" s="18" t="s">
        <v>2518</v>
      </c>
    </row>
    <row r="497" spans="16:26" ht="12.75" hidden="1">
      <c r="P497">
        <v>534</v>
      </c>
      <c r="Q497" t="s">
        <v>676</v>
      </c>
      <c r="R497">
        <v>16</v>
      </c>
      <c r="Z497" s="18" t="s">
        <v>1645</v>
      </c>
    </row>
    <row r="498" spans="16:26" ht="12.75" hidden="1">
      <c r="P498">
        <v>535</v>
      </c>
      <c r="Q498" t="s">
        <v>1241</v>
      </c>
      <c r="R498">
        <v>16</v>
      </c>
      <c r="Z498" s="18" t="s">
        <v>639</v>
      </c>
    </row>
    <row r="499" spans="16:26" ht="12.75" hidden="1">
      <c r="P499">
        <v>536</v>
      </c>
      <c r="Q499" t="s">
        <v>69</v>
      </c>
      <c r="R499">
        <v>1</v>
      </c>
      <c r="Z499" s="18" t="s">
        <v>641</v>
      </c>
    </row>
    <row r="500" spans="16:26" ht="12.75" hidden="1">
      <c r="P500">
        <v>537</v>
      </c>
      <c r="Q500" t="s">
        <v>2330</v>
      </c>
      <c r="R500">
        <v>13</v>
      </c>
      <c r="Z500" s="18" t="s">
        <v>643</v>
      </c>
    </row>
    <row r="501" spans="16:26" ht="12.75" hidden="1">
      <c r="P501">
        <v>538</v>
      </c>
      <c r="Q501" t="s">
        <v>2464</v>
      </c>
      <c r="R501">
        <v>8</v>
      </c>
      <c r="Z501" s="18" t="s">
        <v>645</v>
      </c>
    </row>
    <row r="502" spans="16:26" ht="12.75" hidden="1">
      <c r="P502">
        <v>539</v>
      </c>
      <c r="Q502" t="s">
        <v>109</v>
      </c>
      <c r="R502">
        <v>1</v>
      </c>
      <c r="Z502" s="18" t="s">
        <v>647</v>
      </c>
    </row>
    <row r="503" spans="16:26" ht="12.75" hidden="1">
      <c r="P503">
        <v>540</v>
      </c>
      <c r="Q503" t="s">
        <v>670</v>
      </c>
      <c r="R503">
        <v>1</v>
      </c>
      <c r="Z503" s="18" t="s">
        <v>649</v>
      </c>
    </row>
    <row r="504" spans="16:26" ht="12.75" hidden="1">
      <c r="P504">
        <v>541</v>
      </c>
      <c r="Q504" t="s">
        <v>1014</v>
      </c>
      <c r="R504">
        <v>1</v>
      </c>
      <c r="Z504" s="18" t="s">
        <v>651</v>
      </c>
    </row>
    <row r="505" spans="16:26" ht="12.75" hidden="1">
      <c r="P505">
        <v>542</v>
      </c>
      <c r="Q505" t="s">
        <v>1037</v>
      </c>
      <c r="R505">
        <v>1</v>
      </c>
      <c r="Z505" s="18" t="s">
        <v>653</v>
      </c>
    </row>
    <row r="506" spans="16:26" ht="12.75" hidden="1">
      <c r="P506">
        <v>543</v>
      </c>
      <c r="Q506" t="s">
        <v>1392</v>
      </c>
      <c r="R506">
        <v>1</v>
      </c>
      <c r="Z506" s="18" t="s">
        <v>655</v>
      </c>
    </row>
    <row r="507" spans="16:26" ht="12.75" hidden="1">
      <c r="P507">
        <v>544</v>
      </c>
      <c r="Q507" t="s">
        <v>1376</v>
      </c>
      <c r="R507">
        <v>1</v>
      </c>
      <c r="Z507" s="18" t="s">
        <v>657</v>
      </c>
    </row>
    <row r="508" spans="16:26" ht="12.75" hidden="1">
      <c r="P508">
        <v>545</v>
      </c>
      <c r="Q508" t="s">
        <v>2488</v>
      </c>
      <c r="R508">
        <v>1</v>
      </c>
      <c r="Z508" s="18" t="s">
        <v>659</v>
      </c>
    </row>
    <row r="509" spans="16:26" ht="12.75" hidden="1">
      <c r="P509">
        <v>547</v>
      </c>
      <c r="Q509" t="s">
        <v>2478</v>
      </c>
      <c r="R509">
        <v>1</v>
      </c>
      <c r="Z509" s="18" t="s">
        <v>661</v>
      </c>
    </row>
    <row r="510" spans="16:26" ht="12.75" hidden="1">
      <c r="P510">
        <v>548</v>
      </c>
      <c r="Q510" t="s">
        <v>2566</v>
      </c>
      <c r="R510">
        <v>1</v>
      </c>
      <c r="Z510" s="18" t="s">
        <v>663</v>
      </c>
    </row>
    <row r="511" spans="16:26" ht="12.75" hidden="1">
      <c r="P511">
        <v>549</v>
      </c>
      <c r="Q511" t="s">
        <v>139</v>
      </c>
      <c r="R511">
        <v>1</v>
      </c>
      <c r="Z511" s="18" t="s">
        <v>665</v>
      </c>
    </row>
    <row r="512" spans="16:26" ht="12.75" hidden="1">
      <c r="P512">
        <v>550</v>
      </c>
      <c r="Q512" t="s">
        <v>73</v>
      </c>
      <c r="R512">
        <v>1</v>
      </c>
      <c r="Z512" s="18" t="s">
        <v>667</v>
      </c>
    </row>
    <row r="513" spans="16:26" ht="12.75" hidden="1">
      <c r="P513">
        <v>551</v>
      </c>
      <c r="Q513" t="s">
        <v>2576</v>
      </c>
      <c r="R513">
        <v>1</v>
      </c>
      <c r="Z513" s="18" t="s">
        <v>1984</v>
      </c>
    </row>
    <row r="514" spans="16:26" ht="12.75" hidden="1">
      <c r="P514">
        <v>552</v>
      </c>
      <c r="Q514" t="s">
        <v>1384</v>
      </c>
      <c r="R514">
        <v>2</v>
      </c>
      <c r="Z514" s="18" t="s">
        <v>1986</v>
      </c>
    </row>
    <row r="515" spans="16:26" ht="12.75" hidden="1">
      <c r="P515">
        <v>553</v>
      </c>
      <c r="Q515" t="s">
        <v>1543</v>
      </c>
      <c r="R515">
        <v>2</v>
      </c>
      <c r="Z515" s="18" t="s">
        <v>1988</v>
      </c>
    </row>
    <row r="516" spans="16:26" ht="12.75" hidden="1">
      <c r="P516">
        <v>554</v>
      </c>
      <c r="Q516" t="s">
        <v>2321</v>
      </c>
      <c r="R516">
        <v>2</v>
      </c>
      <c r="Z516" s="18" t="s">
        <v>1990</v>
      </c>
    </row>
    <row r="517" spans="16:26" ht="12.75" hidden="1">
      <c r="P517">
        <v>555</v>
      </c>
      <c r="Q517" t="s">
        <v>2587</v>
      </c>
      <c r="R517">
        <v>3</v>
      </c>
      <c r="Z517" s="18" t="s">
        <v>1992</v>
      </c>
    </row>
    <row r="518" spans="16:26" ht="12.75" hidden="1">
      <c r="P518">
        <v>556</v>
      </c>
      <c r="Q518" t="s">
        <v>2456</v>
      </c>
      <c r="R518">
        <v>4</v>
      </c>
      <c r="Z518" s="18" t="s">
        <v>1994</v>
      </c>
    </row>
    <row r="519" spans="16:26" ht="12.75" hidden="1">
      <c r="P519">
        <v>557</v>
      </c>
      <c r="Q519" t="s">
        <v>1300</v>
      </c>
      <c r="R519">
        <v>4</v>
      </c>
      <c r="Z519" s="18" t="s">
        <v>1996</v>
      </c>
    </row>
    <row r="520" spans="16:26" ht="12.75" hidden="1">
      <c r="P520">
        <v>558</v>
      </c>
      <c r="Q520" t="s">
        <v>1029</v>
      </c>
      <c r="R520">
        <v>5</v>
      </c>
      <c r="Z520" s="18" t="s">
        <v>939</v>
      </c>
    </row>
    <row r="521" spans="16:26" ht="12.75" hidden="1">
      <c r="P521">
        <v>559</v>
      </c>
      <c r="Q521" t="s">
        <v>1393</v>
      </c>
      <c r="R521">
        <v>6</v>
      </c>
      <c r="Z521" s="18" t="s">
        <v>941</v>
      </c>
    </row>
    <row r="522" spans="16:26" ht="12.75" hidden="1">
      <c r="P522">
        <v>560</v>
      </c>
      <c r="Q522" t="s">
        <v>1396</v>
      </c>
      <c r="R522">
        <v>6</v>
      </c>
      <c r="Z522" s="18" t="s">
        <v>184</v>
      </c>
    </row>
    <row r="523" spans="16:26" ht="12.75" hidden="1">
      <c r="P523">
        <v>561</v>
      </c>
      <c r="Q523" t="s">
        <v>2338</v>
      </c>
      <c r="R523">
        <v>6</v>
      </c>
      <c r="Z523" s="18" t="s">
        <v>186</v>
      </c>
    </row>
    <row r="524" spans="16:26" ht="12.75" hidden="1">
      <c r="P524">
        <v>562</v>
      </c>
      <c r="Q524" t="s">
        <v>1538</v>
      </c>
      <c r="R524">
        <v>7</v>
      </c>
      <c r="Z524" s="18" t="s">
        <v>188</v>
      </c>
    </row>
    <row r="525" spans="16:26" ht="12.75" hidden="1">
      <c r="P525">
        <v>564</v>
      </c>
      <c r="Q525" t="s">
        <v>1062</v>
      </c>
      <c r="R525">
        <v>7</v>
      </c>
      <c r="Z525" s="18" t="s">
        <v>190</v>
      </c>
    </row>
    <row r="526" spans="16:26" ht="12.75" hidden="1">
      <c r="P526">
        <v>565</v>
      </c>
      <c r="Q526" t="s">
        <v>1026</v>
      </c>
      <c r="R526">
        <v>7</v>
      </c>
      <c r="Z526" s="18" t="s">
        <v>363</v>
      </c>
    </row>
    <row r="527" spans="16:26" ht="12.75" hidden="1">
      <c r="P527">
        <v>566</v>
      </c>
      <c r="Q527" t="s">
        <v>1972</v>
      </c>
      <c r="R527">
        <v>7</v>
      </c>
      <c r="Z527" s="18" t="s">
        <v>365</v>
      </c>
    </row>
    <row r="528" spans="16:26" ht="12.75" hidden="1">
      <c r="P528">
        <v>567</v>
      </c>
      <c r="Q528" t="s">
        <v>1654</v>
      </c>
      <c r="R528">
        <v>12</v>
      </c>
      <c r="Z528" s="18" t="s">
        <v>367</v>
      </c>
    </row>
    <row r="529" spans="16:26" ht="12.75" hidden="1">
      <c r="P529">
        <v>568</v>
      </c>
      <c r="Q529" t="s">
        <v>1066</v>
      </c>
      <c r="R529">
        <v>12</v>
      </c>
      <c r="Z529" s="18" t="s">
        <v>369</v>
      </c>
    </row>
    <row r="530" spans="16:26" ht="12.75" hidden="1">
      <c r="P530">
        <v>569</v>
      </c>
      <c r="Q530" t="s">
        <v>1030</v>
      </c>
      <c r="R530">
        <v>12</v>
      </c>
      <c r="Z530" s="18" t="s">
        <v>371</v>
      </c>
    </row>
    <row r="531" spans="16:26" ht="12.75" hidden="1">
      <c r="P531">
        <v>570</v>
      </c>
      <c r="Q531" t="s">
        <v>1544</v>
      </c>
      <c r="R531">
        <v>12</v>
      </c>
      <c r="Z531" s="18" t="s">
        <v>373</v>
      </c>
    </row>
    <row r="532" spans="16:26" ht="12.75" hidden="1">
      <c r="P532">
        <v>571</v>
      </c>
      <c r="Q532" t="s">
        <v>2352</v>
      </c>
      <c r="R532">
        <v>13</v>
      </c>
      <c r="Z532" s="18" t="s">
        <v>375</v>
      </c>
    </row>
    <row r="533" spans="16:26" ht="12.75" hidden="1">
      <c r="P533">
        <v>572</v>
      </c>
      <c r="Q533" t="s">
        <v>1537</v>
      </c>
      <c r="R533">
        <v>13</v>
      </c>
      <c r="Z533" s="18" t="s">
        <v>377</v>
      </c>
    </row>
    <row r="534" spans="16:26" ht="12.75" hidden="1">
      <c r="P534">
        <v>573</v>
      </c>
      <c r="Q534" t="s">
        <v>1400</v>
      </c>
      <c r="R534">
        <v>13</v>
      </c>
      <c r="Z534" s="18" t="s">
        <v>1843</v>
      </c>
    </row>
    <row r="535" spans="16:26" ht="12.75" hidden="1">
      <c r="P535">
        <v>574</v>
      </c>
      <c r="Q535" t="s">
        <v>678</v>
      </c>
      <c r="R535">
        <v>13</v>
      </c>
      <c r="Z535" s="18" t="s">
        <v>1133</v>
      </c>
    </row>
    <row r="536" spans="16:26" ht="12.75" hidden="1">
      <c r="P536">
        <v>575</v>
      </c>
      <c r="Q536" t="s">
        <v>1288</v>
      </c>
      <c r="R536">
        <v>13</v>
      </c>
      <c r="Z536" s="18" t="s">
        <v>1135</v>
      </c>
    </row>
    <row r="537" spans="16:26" ht="12.75" hidden="1">
      <c r="P537">
        <v>576</v>
      </c>
      <c r="Q537" t="s">
        <v>114</v>
      </c>
      <c r="R537">
        <v>14</v>
      </c>
      <c r="Z537" s="18" t="s">
        <v>1137</v>
      </c>
    </row>
    <row r="538" spans="16:26" ht="12.75" hidden="1">
      <c r="P538">
        <v>578</v>
      </c>
      <c r="Q538" t="s">
        <v>2584</v>
      </c>
      <c r="R538">
        <v>14</v>
      </c>
      <c r="Z538" s="18" t="s">
        <v>1411</v>
      </c>
    </row>
    <row r="539" spans="16:26" ht="12.75" hidden="1">
      <c r="P539">
        <v>579</v>
      </c>
      <c r="Q539" t="s">
        <v>1125</v>
      </c>
      <c r="R539">
        <v>14</v>
      </c>
      <c r="Z539" s="18" t="s">
        <v>1413</v>
      </c>
    </row>
    <row r="540" spans="16:26" ht="12.75" hidden="1">
      <c r="P540">
        <v>581</v>
      </c>
      <c r="Q540" t="s">
        <v>1429</v>
      </c>
      <c r="R540">
        <v>15</v>
      </c>
      <c r="Z540" s="18" t="s">
        <v>1415</v>
      </c>
    </row>
    <row r="541" spans="16:26" ht="12.75" hidden="1">
      <c r="P541">
        <v>582</v>
      </c>
      <c r="Q541" t="s">
        <v>2462</v>
      </c>
      <c r="R541">
        <v>15</v>
      </c>
      <c r="Z541" s="18" t="s">
        <v>1718</v>
      </c>
    </row>
    <row r="542" spans="16:26" ht="12.75" hidden="1">
      <c r="P542">
        <v>583</v>
      </c>
      <c r="Q542" t="s">
        <v>678</v>
      </c>
      <c r="R542">
        <v>16</v>
      </c>
      <c r="Z542" s="18" t="s">
        <v>1720</v>
      </c>
    </row>
    <row r="543" spans="16:26" ht="12.75" hidden="1">
      <c r="P543">
        <v>584</v>
      </c>
      <c r="Q543" t="s">
        <v>1427</v>
      </c>
      <c r="R543">
        <v>16</v>
      </c>
      <c r="Z543" s="18" t="s">
        <v>1722</v>
      </c>
    </row>
    <row r="544" spans="16:26" ht="12.75" hidden="1">
      <c r="P544">
        <v>585</v>
      </c>
      <c r="Q544" t="s">
        <v>1292</v>
      </c>
      <c r="R544">
        <v>17</v>
      </c>
      <c r="Z544" s="18" t="s">
        <v>1724</v>
      </c>
    </row>
    <row r="545" spans="16:26" ht="12.75" hidden="1">
      <c r="P545">
        <v>586</v>
      </c>
      <c r="Q545" t="s">
        <v>1646</v>
      </c>
      <c r="R545">
        <v>17</v>
      </c>
      <c r="Z545" s="18" t="s">
        <v>1726</v>
      </c>
    </row>
    <row r="546" spans="16:26" ht="12.75" hidden="1">
      <c r="P546">
        <v>587</v>
      </c>
      <c r="Q546" t="s">
        <v>2545</v>
      </c>
      <c r="R546">
        <v>17</v>
      </c>
      <c r="Z546" s="18" t="s">
        <v>1728</v>
      </c>
    </row>
    <row r="547" spans="16:26" ht="12.75" hidden="1">
      <c r="P547">
        <v>588</v>
      </c>
      <c r="Q547" t="s">
        <v>2353</v>
      </c>
      <c r="R547">
        <v>17</v>
      </c>
      <c r="Z547" s="18" t="s">
        <v>516</v>
      </c>
    </row>
    <row r="548" spans="16:26" ht="12.75" hidden="1">
      <c r="P548">
        <v>589</v>
      </c>
      <c r="Q548" t="s">
        <v>1977</v>
      </c>
      <c r="R548">
        <v>17</v>
      </c>
      <c r="Z548" s="18" t="s">
        <v>518</v>
      </c>
    </row>
    <row r="549" spans="16:26" ht="12.75" hidden="1">
      <c r="P549">
        <v>590</v>
      </c>
      <c r="Q549" t="s">
        <v>672</v>
      </c>
      <c r="R549">
        <v>17</v>
      </c>
      <c r="Z549" s="18" t="s">
        <v>2197</v>
      </c>
    </row>
    <row r="550" spans="16:26" ht="12.75" hidden="1">
      <c r="P550">
        <v>591</v>
      </c>
      <c r="Q550" t="s">
        <v>2474</v>
      </c>
      <c r="R550">
        <v>17</v>
      </c>
      <c r="Z550" s="18" t="s">
        <v>2199</v>
      </c>
    </row>
    <row r="551" spans="16:26" ht="12.75" hidden="1">
      <c r="P551">
        <v>592</v>
      </c>
      <c r="Q551" t="s">
        <v>2594</v>
      </c>
      <c r="R551">
        <v>17</v>
      </c>
      <c r="Z551" s="18" t="s">
        <v>2201</v>
      </c>
    </row>
    <row r="552" spans="16:26" ht="12.75" hidden="1">
      <c r="P552">
        <v>593</v>
      </c>
      <c r="Q552" t="s">
        <v>2336</v>
      </c>
      <c r="R552">
        <v>17</v>
      </c>
      <c r="Z552" s="18" t="s">
        <v>2203</v>
      </c>
    </row>
    <row r="553" spans="16:26" ht="12.75" hidden="1">
      <c r="P553">
        <v>595</v>
      </c>
      <c r="Q553" t="s">
        <v>1380</v>
      </c>
      <c r="R553">
        <v>17</v>
      </c>
      <c r="Z553" s="18" t="s">
        <v>2205</v>
      </c>
    </row>
    <row r="554" spans="16:26" ht="12.75" hidden="1">
      <c r="P554">
        <v>596</v>
      </c>
      <c r="Q554" t="s">
        <v>1976</v>
      </c>
      <c r="R554">
        <v>18</v>
      </c>
      <c r="Z554" s="18" t="s">
        <v>2207</v>
      </c>
    </row>
    <row r="555" spans="16:26" ht="12.75" hidden="1">
      <c r="P555">
        <v>597</v>
      </c>
      <c r="Q555" t="s">
        <v>674</v>
      </c>
      <c r="R555">
        <v>18</v>
      </c>
      <c r="Z555" s="18" t="s">
        <v>2209</v>
      </c>
    </row>
    <row r="556" spans="16:26" ht="12.75" hidden="1">
      <c r="P556">
        <v>598</v>
      </c>
      <c r="Q556" t="s">
        <v>142</v>
      </c>
      <c r="R556">
        <v>19</v>
      </c>
      <c r="Z556" s="18" t="s">
        <v>2211</v>
      </c>
    </row>
    <row r="557" spans="16:26" ht="12.75" hidden="1">
      <c r="P557">
        <v>599</v>
      </c>
      <c r="Q557" t="s">
        <v>1784</v>
      </c>
      <c r="R557">
        <v>19</v>
      </c>
      <c r="Z557" s="18" t="s">
        <v>2213</v>
      </c>
    </row>
    <row r="558" spans="16:26" ht="12.75" hidden="1">
      <c r="P558">
        <v>600</v>
      </c>
      <c r="Q558" t="s">
        <v>2572</v>
      </c>
      <c r="R558">
        <v>19</v>
      </c>
      <c r="Z558" s="18" t="s">
        <v>2215</v>
      </c>
    </row>
    <row r="559" spans="16:26" ht="12.75" hidden="1">
      <c r="P559">
        <v>601</v>
      </c>
      <c r="Q559" t="s">
        <v>2331</v>
      </c>
      <c r="R559">
        <v>19</v>
      </c>
      <c r="Z559" s="18" t="s">
        <v>386</v>
      </c>
    </row>
    <row r="560" spans="16:26" ht="12.75" hidden="1">
      <c r="P560">
        <v>602</v>
      </c>
      <c r="Q560" t="s">
        <v>673</v>
      </c>
      <c r="R560">
        <v>19</v>
      </c>
      <c r="Z560" s="18" t="s">
        <v>388</v>
      </c>
    </row>
    <row r="561" spans="16:26" ht="12.75" hidden="1">
      <c r="P561">
        <v>603</v>
      </c>
      <c r="Q561" t="s">
        <v>2592</v>
      </c>
      <c r="R561">
        <v>20</v>
      </c>
      <c r="Z561" s="18" t="s">
        <v>580</v>
      </c>
    </row>
    <row r="562" spans="16:26" ht="12.75" hidden="1">
      <c r="P562">
        <v>604</v>
      </c>
      <c r="Q562" t="s">
        <v>1039</v>
      </c>
      <c r="R562">
        <v>20</v>
      </c>
      <c r="Z562" s="18" t="s">
        <v>582</v>
      </c>
    </row>
    <row r="563" spans="16:26" ht="12.75" hidden="1">
      <c r="P563">
        <v>605</v>
      </c>
      <c r="Q563" t="s">
        <v>1031</v>
      </c>
      <c r="R563">
        <v>20</v>
      </c>
      <c r="Z563" s="18" t="s">
        <v>584</v>
      </c>
    </row>
    <row r="564" spans="16:26" ht="12.75" hidden="1">
      <c r="P564">
        <v>606</v>
      </c>
      <c r="Q564" t="s">
        <v>2567</v>
      </c>
      <c r="R564">
        <v>20</v>
      </c>
      <c r="Z564" s="18" t="s">
        <v>586</v>
      </c>
    </row>
    <row r="565" spans="16:26" ht="12.75" hidden="1">
      <c r="P565">
        <v>607</v>
      </c>
      <c r="Q565" t="s">
        <v>2597</v>
      </c>
      <c r="R565">
        <v>20</v>
      </c>
      <c r="Z565" s="18" t="s">
        <v>588</v>
      </c>
    </row>
    <row r="566" spans="16:26" ht="12.75" hidden="1">
      <c r="P566">
        <v>608</v>
      </c>
      <c r="Q566" t="s">
        <v>1065</v>
      </c>
      <c r="R566">
        <v>20</v>
      </c>
      <c r="Z566" s="18" t="s">
        <v>590</v>
      </c>
    </row>
    <row r="567" spans="16:26" ht="12.75" hidden="1">
      <c r="P567">
        <v>609</v>
      </c>
      <c r="Q567" t="s">
        <v>1772</v>
      </c>
      <c r="R567">
        <v>14</v>
      </c>
      <c r="Z567" s="18" t="s">
        <v>592</v>
      </c>
    </row>
    <row r="568" spans="16:26" ht="12.75" hidden="1">
      <c r="P568">
        <v>610</v>
      </c>
      <c r="Q568" t="s">
        <v>118</v>
      </c>
      <c r="R568">
        <v>16</v>
      </c>
      <c r="Z568" s="18" t="s">
        <v>740</v>
      </c>
    </row>
    <row r="569" spans="16:26" ht="12.75" hidden="1">
      <c r="P569">
        <v>612</v>
      </c>
      <c r="Q569" t="s">
        <v>1281</v>
      </c>
      <c r="R569">
        <v>16</v>
      </c>
      <c r="Z569" s="18" t="s">
        <v>742</v>
      </c>
    </row>
    <row r="570" spans="16:26" ht="12.75" hidden="1">
      <c r="P570">
        <v>614</v>
      </c>
      <c r="Q570" t="s">
        <v>1077</v>
      </c>
      <c r="R570">
        <v>14</v>
      </c>
      <c r="Z570" s="18" t="s">
        <v>744</v>
      </c>
    </row>
    <row r="571" spans="16:26" ht="12.75" hidden="1">
      <c r="P571">
        <v>616</v>
      </c>
      <c r="Q571" t="s">
        <v>1785</v>
      </c>
      <c r="R571">
        <v>6</v>
      </c>
      <c r="Z571" s="18" t="s">
        <v>746</v>
      </c>
    </row>
    <row r="572" spans="16:26" ht="12.75" hidden="1">
      <c r="P572">
        <v>617</v>
      </c>
      <c r="Q572" t="s">
        <v>1088</v>
      </c>
      <c r="R572">
        <v>15</v>
      </c>
      <c r="Z572" s="18" t="s">
        <v>748</v>
      </c>
    </row>
    <row r="573" spans="16:26" ht="12.75" hidden="1">
      <c r="P573">
        <v>618</v>
      </c>
      <c r="Q573" t="s">
        <v>1024</v>
      </c>
      <c r="R573">
        <v>6</v>
      </c>
      <c r="Z573" s="18" t="s">
        <v>750</v>
      </c>
    </row>
    <row r="574" spans="16:26" ht="12.75" hidden="1">
      <c r="P574">
        <v>619</v>
      </c>
      <c r="Q574" t="s">
        <v>2337</v>
      </c>
      <c r="R574">
        <v>18</v>
      </c>
      <c r="Z574" s="18" t="s">
        <v>752</v>
      </c>
    </row>
    <row r="575" spans="16:26" ht="12.75" hidden="1">
      <c r="P575">
        <v>620</v>
      </c>
      <c r="Q575" t="s">
        <v>669</v>
      </c>
      <c r="R575">
        <v>20</v>
      </c>
      <c r="Z575" s="18" t="s">
        <v>754</v>
      </c>
    </row>
    <row r="576" spans="16:26" ht="12.75" hidden="1">
      <c r="P576">
        <v>621</v>
      </c>
      <c r="Q576" t="s">
        <v>2466</v>
      </c>
      <c r="R576">
        <v>15</v>
      </c>
      <c r="Z576" s="18" t="s">
        <v>2292</v>
      </c>
    </row>
    <row r="577" spans="16:26" ht="12.75" hidden="1">
      <c r="P577">
        <v>622</v>
      </c>
      <c r="Q577" t="s">
        <v>71</v>
      </c>
      <c r="R577">
        <v>13</v>
      </c>
      <c r="Z577" s="18" t="s">
        <v>2420</v>
      </c>
    </row>
    <row r="578" spans="16:26" ht="12.75" hidden="1">
      <c r="P578">
        <v>623</v>
      </c>
      <c r="Q578" t="s">
        <v>1399</v>
      </c>
      <c r="R578">
        <v>4</v>
      </c>
      <c r="Z578" s="18" t="s">
        <v>2422</v>
      </c>
    </row>
    <row r="579" spans="16:26" ht="12.75" hidden="1">
      <c r="P579">
        <v>624</v>
      </c>
      <c r="Q579" t="s">
        <v>2548</v>
      </c>
      <c r="R579">
        <v>8</v>
      </c>
      <c r="Z579" s="18" t="s">
        <v>2424</v>
      </c>
    </row>
    <row r="580" spans="16:26" ht="12.75" hidden="1">
      <c r="P580">
        <v>625</v>
      </c>
      <c r="Q580" t="s">
        <v>1786</v>
      </c>
      <c r="R580">
        <v>13</v>
      </c>
      <c r="Z580" s="18" t="s">
        <v>2426</v>
      </c>
    </row>
    <row r="581" spans="16:26" ht="12.75" hidden="1">
      <c r="P581">
        <v>626</v>
      </c>
      <c r="Q581" t="s">
        <v>1156</v>
      </c>
      <c r="R581">
        <v>15</v>
      </c>
      <c r="Z581" s="18" t="s">
        <v>2428</v>
      </c>
    </row>
    <row r="582" spans="16:26" ht="12.75" hidden="1">
      <c r="P582">
        <v>628</v>
      </c>
      <c r="Q582" t="s">
        <v>1089</v>
      </c>
      <c r="R582">
        <v>16</v>
      </c>
      <c r="Z582" s="18" t="s">
        <v>802</v>
      </c>
    </row>
    <row r="583" spans="16:26" ht="12.75" hidden="1">
      <c r="P583">
        <v>629</v>
      </c>
      <c r="Q583" t="s">
        <v>2346</v>
      </c>
      <c r="R583">
        <v>18</v>
      </c>
      <c r="Z583" s="18" t="s">
        <v>804</v>
      </c>
    </row>
    <row r="584" spans="16:26" ht="12.75" hidden="1">
      <c r="P584">
        <v>631</v>
      </c>
      <c r="Q584" t="s">
        <v>1279</v>
      </c>
      <c r="R584">
        <v>18</v>
      </c>
      <c r="Z584" s="18" t="s">
        <v>806</v>
      </c>
    </row>
    <row r="585" ht="12.75" hidden="1">
      <c r="Z585" s="18" t="s">
        <v>808</v>
      </c>
    </row>
    <row r="586" ht="12.75" hidden="1">
      <c r="Z586" s="18" t="s">
        <v>810</v>
      </c>
    </row>
    <row r="587" ht="12.75" hidden="1">
      <c r="Z587" s="18" t="s">
        <v>812</v>
      </c>
    </row>
    <row r="588" ht="12.75" hidden="1">
      <c r="Z588" s="18" t="s">
        <v>814</v>
      </c>
    </row>
    <row r="589" ht="12.75" hidden="1">
      <c r="Z589" s="18" t="s">
        <v>816</v>
      </c>
    </row>
    <row r="590" ht="12.75" hidden="1">
      <c r="Z590" s="18" t="s">
        <v>818</v>
      </c>
    </row>
    <row r="591" ht="12.75" hidden="1">
      <c r="Z591" s="18" t="s">
        <v>820</v>
      </c>
    </row>
    <row r="592" ht="12.75" hidden="1">
      <c r="Z592" s="18" t="s">
        <v>822</v>
      </c>
    </row>
    <row r="593" ht="12.75" hidden="1">
      <c r="Z593" s="18" t="s">
        <v>824</v>
      </c>
    </row>
    <row r="594" ht="12.75" hidden="1">
      <c r="Z594" s="18" t="s">
        <v>826</v>
      </c>
    </row>
    <row r="595" ht="12.75" hidden="1">
      <c r="Z595" s="18" t="s">
        <v>828</v>
      </c>
    </row>
    <row r="596" ht="12.75" hidden="1">
      <c r="Z596" s="18" t="s">
        <v>830</v>
      </c>
    </row>
    <row r="597" ht="12.75" hidden="1">
      <c r="Z597" s="18" t="s">
        <v>832</v>
      </c>
    </row>
    <row r="598" ht="12.75" hidden="1">
      <c r="Z598" s="18" t="s">
        <v>834</v>
      </c>
    </row>
    <row r="599" ht="12.75" hidden="1">
      <c r="Z599" s="18" t="s">
        <v>836</v>
      </c>
    </row>
    <row r="600" ht="12.75" hidden="1">
      <c r="Z600" s="18" t="s">
        <v>838</v>
      </c>
    </row>
    <row r="601" ht="12.75" hidden="1">
      <c r="Z601" s="18" t="s">
        <v>2313</v>
      </c>
    </row>
    <row r="602" ht="12.75" hidden="1">
      <c r="Z602" s="18" t="s">
        <v>2373</v>
      </c>
    </row>
    <row r="603" ht="12.75" hidden="1">
      <c r="Z603" s="18" t="s">
        <v>2375</v>
      </c>
    </row>
    <row r="604" ht="12.75" hidden="1">
      <c r="Z604" s="18" t="s">
        <v>2026</v>
      </c>
    </row>
    <row r="605" ht="12.75" hidden="1">
      <c r="Z605" s="18" t="s">
        <v>2028</v>
      </c>
    </row>
    <row r="606" ht="12.75" hidden="1">
      <c r="Z606" s="18" t="s">
        <v>2030</v>
      </c>
    </row>
    <row r="607" ht="12.75" hidden="1">
      <c r="Z607" s="18" t="s">
        <v>2032</v>
      </c>
    </row>
    <row r="608" ht="12.75" hidden="1">
      <c r="Z608" s="18" t="s">
        <v>2034</v>
      </c>
    </row>
    <row r="609" ht="12.75" hidden="1">
      <c r="Z609" s="18" t="s">
        <v>2036</v>
      </c>
    </row>
    <row r="610" ht="12.75" hidden="1">
      <c r="Z610" s="18" t="s">
        <v>2038</v>
      </c>
    </row>
    <row r="611" ht="12.75" hidden="1">
      <c r="Z611" s="18" t="s">
        <v>2040</v>
      </c>
    </row>
    <row r="612" ht="12.75" hidden="1">
      <c r="Z612" s="18" t="s">
        <v>2042</v>
      </c>
    </row>
    <row r="613" ht="12.75" hidden="1">
      <c r="Z613" s="18" t="s">
        <v>2044</v>
      </c>
    </row>
    <row r="614" ht="12.75" hidden="1">
      <c r="Z614" s="18" t="s">
        <v>2046</v>
      </c>
    </row>
    <row r="615" ht="12.75" hidden="1">
      <c r="Z615" s="18" t="s">
        <v>2048</v>
      </c>
    </row>
    <row r="616" ht="12.75" hidden="1">
      <c r="Z616" s="18" t="s">
        <v>2050</v>
      </c>
    </row>
    <row r="617" ht="12.75" hidden="1">
      <c r="Z617" s="18" t="s">
        <v>2052</v>
      </c>
    </row>
    <row r="618" ht="12.75" hidden="1">
      <c r="Z618" s="18" t="s">
        <v>2054</v>
      </c>
    </row>
    <row r="619" ht="12.75" hidden="1">
      <c r="Z619" s="18" t="s">
        <v>2056</v>
      </c>
    </row>
    <row r="620" ht="12.75" hidden="1">
      <c r="Z620" s="18" t="s">
        <v>2058</v>
      </c>
    </row>
    <row r="621" ht="12.75" hidden="1">
      <c r="Z621" s="18" t="s">
        <v>275</v>
      </c>
    </row>
    <row r="622" ht="12.75" hidden="1">
      <c r="Z622" s="18" t="s">
        <v>1224</v>
      </c>
    </row>
    <row r="623" ht="12.75" hidden="1">
      <c r="Z623" s="18" t="s">
        <v>1226</v>
      </c>
    </row>
    <row r="624" ht="12.75" hidden="1">
      <c r="Z624" s="18" t="s">
        <v>1228</v>
      </c>
    </row>
    <row r="625" ht="12.75" hidden="1">
      <c r="Z625" s="18" t="s">
        <v>1109</v>
      </c>
    </row>
    <row r="626" ht="12.75" hidden="1">
      <c r="Z626" s="18" t="s">
        <v>1111</v>
      </c>
    </row>
    <row r="627" ht="12.75" hidden="1">
      <c r="Z627" s="18" t="s">
        <v>1113</v>
      </c>
    </row>
    <row r="628" ht="12.75" hidden="1">
      <c r="Z628" s="18" t="s">
        <v>1115</v>
      </c>
    </row>
    <row r="629" ht="12.75" hidden="1">
      <c r="Z629" s="18" t="s">
        <v>1117</v>
      </c>
    </row>
    <row r="630" ht="12.75" hidden="1">
      <c r="Z630" s="18" t="s">
        <v>1119</v>
      </c>
    </row>
    <row r="631" ht="12.75" hidden="1">
      <c r="Z631" s="18" t="s">
        <v>771</v>
      </c>
    </row>
    <row r="632" ht="12.75" hidden="1">
      <c r="Z632" s="18" t="s">
        <v>773</v>
      </c>
    </row>
    <row r="633" ht="12.75" hidden="1">
      <c r="Z633" s="18" t="s">
        <v>775</v>
      </c>
    </row>
    <row r="634" ht="12.75" hidden="1">
      <c r="Z634" s="18" t="s">
        <v>777</v>
      </c>
    </row>
    <row r="635" ht="12.75" hidden="1">
      <c r="Z635" s="18" t="s">
        <v>779</v>
      </c>
    </row>
    <row r="636" ht="12.75" hidden="1">
      <c r="Z636" s="18" t="s">
        <v>972</v>
      </c>
    </row>
    <row r="637" ht="12.75" hidden="1">
      <c r="Z637" s="18" t="s">
        <v>974</v>
      </c>
    </row>
    <row r="638" ht="12.75" hidden="1">
      <c r="Z638" s="18" t="s">
        <v>976</v>
      </c>
    </row>
    <row r="639" ht="12.75" hidden="1">
      <c r="Z639" s="18" t="s">
        <v>978</v>
      </c>
    </row>
    <row r="640" ht="12.75" hidden="1">
      <c r="Z640" s="18" t="s">
        <v>980</v>
      </c>
    </row>
    <row r="641" ht="12.75" hidden="1">
      <c r="Z641" s="18" t="s">
        <v>982</v>
      </c>
    </row>
    <row r="642" ht="12.75" hidden="1">
      <c r="Z642" s="18" t="s">
        <v>984</v>
      </c>
    </row>
    <row r="643" ht="12.75" hidden="1">
      <c r="Z643" s="18" t="s">
        <v>986</v>
      </c>
    </row>
  </sheetData>
  <sheetProtection password="C79A" sheet="1" objects="1"/>
  <mergeCells count="94">
    <mergeCell ref="A45:B45"/>
    <mergeCell ref="A43:B43"/>
    <mergeCell ref="C31:J31"/>
    <mergeCell ref="A39:B39"/>
    <mergeCell ref="C19:D19"/>
    <mergeCell ref="F27:L27"/>
    <mergeCell ref="C29:L29"/>
    <mergeCell ref="C21:D21"/>
    <mergeCell ref="C23:D23"/>
    <mergeCell ref="C27:D27"/>
    <mergeCell ref="E54:F54"/>
    <mergeCell ref="A57:B57"/>
    <mergeCell ref="A51:B51"/>
    <mergeCell ref="F63:N63"/>
    <mergeCell ref="A23:B24"/>
    <mergeCell ref="A41:B41"/>
    <mergeCell ref="D47:G48"/>
    <mergeCell ref="D45:G46"/>
    <mergeCell ref="D35:G35"/>
    <mergeCell ref="A31:B31"/>
    <mergeCell ref="E17:I21"/>
    <mergeCell ref="J18:N20"/>
    <mergeCell ref="A19:B19"/>
    <mergeCell ref="A21:B21"/>
    <mergeCell ref="C69:J69"/>
    <mergeCell ref="F64:G64"/>
    <mergeCell ref="A47:B47"/>
    <mergeCell ref="A49:B49"/>
    <mergeCell ref="A53:B54"/>
    <mergeCell ref="A55:B56"/>
    <mergeCell ref="G59:H59"/>
    <mergeCell ref="G60:H60"/>
    <mergeCell ref="M59:N59"/>
    <mergeCell ref="M60:N60"/>
    <mergeCell ref="A13:N13"/>
    <mergeCell ref="F15:H15"/>
    <mergeCell ref="A17:B17"/>
    <mergeCell ref="A16:C16"/>
    <mergeCell ref="H14:J14"/>
    <mergeCell ref="A15:C15"/>
    <mergeCell ref="H74:L74"/>
    <mergeCell ref="A65:B65"/>
    <mergeCell ref="A67:B67"/>
    <mergeCell ref="C65:J65"/>
    <mergeCell ref="C67:E67"/>
    <mergeCell ref="C72:H72"/>
    <mergeCell ref="A69:B69"/>
    <mergeCell ref="G61:H61"/>
    <mergeCell ref="C64:D64"/>
    <mergeCell ref="C63:D63"/>
    <mergeCell ref="F62:G62"/>
    <mergeCell ref="A63:B63"/>
    <mergeCell ref="I49:N50"/>
    <mergeCell ref="A59:F59"/>
    <mergeCell ref="A61:F61"/>
    <mergeCell ref="J61:K61"/>
    <mergeCell ref="M61:N61"/>
    <mergeCell ref="C56:D56"/>
    <mergeCell ref="E56:F56"/>
    <mergeCell ref="D39:G41"/>
    <mergeCell ref="E43:F43"/>
    <mergeCell ref="A71:B71"/>
    <mergeCell ref="C71:H71"/>
    <mergeCell ref="H67:J67"/>
    <mergeCell ref="C54:D54"/>
    <mergeCell ref="C62:D62"/>
    <mergeCell ref="J59:K59"/>
    <mergeCell ref="I55:N56"/>
    <mergeCell ref="A1:B2"/>
    <mergeCell ref="E5:F5"/>
    <mergeCell ref="F9:N9"/>
    <mergeCell ref="K12:N12"/>
    <mergeCell ref="I39:N40"/>
    <mergeCell ref="H5:I5"/>
    <mergeCell ref="J5:N7"/>
    <mergeCell ref="A3:N3"/>
    <mergeCell ref="A5:D5"/>
    <mergeCell ref="I45:N46"/>
    <mergeCell ref="I47:N48"/>
    <mergeCell ref="I53:N54"/>
    <mergeCell ref="I51:N52"/>
    <mergeCell ref="A25:B25"/>
    <mergeCell ref="A27:B27"/>
    <mergeCell ref="C25:L25"/>
    <mergeCell ref="C33:J33"/>
    <mergeCell ref="A33:B33"/>
    <mergeCell ref="D49:G50"/>
    <mergeCell ref="A37:B37"/>
    <mergeCell ref="A35:B35"/>
    <mergeCell ref="A29:B29"/>
    <mergeCell ref="I43:N44"/>
    <mergeCell ref="H37:J37"/>
    <mergeCell ref="I41:N42"/>
    <mergeCell ref="D37:G37"/>
  </mergeCells>
  <conditionalFormatting sqref="H39 H41 H43 H45 H47 H53 H49 H51 H55">
    <cfRule type="cellIs" priority="1" dxfId="6" operator="equal" stopIfTrue="1">
      <formula>"DA"</formula>
    </cfRule>
  </conditionalFormatting>
  <conditionalFormatting sqref="H5:I5">
    <cfRule type="cellIs" priority="2" dxfId="3" operator="lessThan" stopIfTrue="1">
      <formula>$E$5</formula>
    </cfRule>
  </conditionalFormatting>
  <dataValidations count="16">
    <dataValidation type="list" allowBlank="1" showInputMessage="1" showErrorMessage="1" sqref="G14">
      <formula1>$M$1:$M$2</formula1>
    </dataValidation>
    <dataValidation type="textLength" allowBlank="1" showInputMessage="1" showErrorMessage="1" errorTitle="Neispravan matični broj" error="Matični broj unosi se na osam znamenaka s vodećim nulama. Matični broj mora biti brojevna vrijednost." sqref="M61:N61 C19:D19 J61 G61:H61 J59 G59:H59 C63:D63 M59:N59">
      <formula1>8</formula1>
      <formula2>8</formula2>
    </dataValidation>
    <dataValidation type="list" allowBlank="1" showInputMessage="1" showErrorMessage="1" sqref="C41 C43">
      <formula1>"DA,NE"</formula1>
    </dataValidation>
    <dataValidation type="whole" allowBlank="1" showInputMessage="1" showErrorMessage="1" errorTitle="Nispravan postotak" error="Postotak udjela može biti cijeli broj u rasponu 1 do 100" sqref="E51 C51">
      <formula1>0</formula1>
      <formula2>100</formula2>
    </dataValidation>
    <dataValidation type="whole" allowBlank="1" showInputMessage="1" showErrorMessage="1" errorTitle="Neispravan poštanski broj" error="Poštanski broj unosi se kao brojevna vrijednost u granicama primjenjivim u Hrvatskoj (10000 do 54000)" sqref="C27:D27">
      <formula1>10000</formula1>
      <formula2>54000</formula2>
    </dataValidation>
    <dataValidation type="list" allowBlank="1" showInputMessage="1" showErrorMessage="1" sqref="C17">
      <formula1>$P$17:$P$24</formula1>
    </dataValidation>
    <dataValidation type="textLength" allowBlank="1" showInputMessage="1" showErrorMessage="1" errorTitle="Neispravan matični broj" error="Matični broj unosi se na osam znamenaka s vodećim nulama. Matični broj mora biti brojevna vrijednost." sqref="C21:D21">
      <formula1>9</formula1>
      <formula2>9</formula2>
    </dataValidation>
    <dataValidation type="list" allowBlank="1" showInputMessage="1" showErrorMessage="1" sqref="C35">
      <formula1>$P$29:$P$584</formula1>
    </dataValidation>
    <dataValidation type="textLength" allowBlank="1" showInputMessage="1" showErrorMessage="1" errorTitle="Neispravan matični broj" error="Osobni identifikacijski broj unosi se na 11 znamenaka. Ispravite unos." sqref="C23:D23 E43:F43">
      <formula1>11</formula1>
      <formula2>11</formula2>
    </dataValidation>
    <dataValidation type="list" allowBlank="1" showInputMessage="1" showErrorMessage="1" sqref="C39">
      <formula1>$Z$29:$Z$643</formula1>
    </dataValidation>
    <dataValidation type="list" allowBlank="1" showInputMessage="1" showErrorMessage="1" sqref="C45">
      <formula1>$T$52:$T$54</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H5:I5">
      <formula1>39448</formula1>
    </dataValidation>
    <dataValidation type="list" allowBlank="1" showInputMessage="1" showErrorMessage="1" sqref="E9">
      <formula1>"4"</formula1>
    </dataValidation>
    <dataValidation type="list" allowBlank="1" showInputMessage="1" showErrorMessage="1" sqref="H43 H49 H51 H53 H55">
      <formula1>"DA, NE"</formula1>
    </dataValidation>
    <dataValidation type="whole" allowBlank="1" showInputMessage="1" showErrorMessage="1" errorTitle="Broj mjeseci poslovanja" error="Broj mjeseci poslovanja za jedan izvještaj može biti od 0 do 12." sqref="C57 E57">
      <formula1>0</formula1>
      <formula2>12</formula2>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5">
      <formula1>39083</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905511811023623" right="0.5905511811023623" top="0.3937007874015748" bottom="0.7874015748031497" header="0.3937007874015748" footer="0.5905511811023623"/>
  <pageSetup fitToHeight="1" fitToWidth="1" horizontalDpi="600" verticalDpi="600" orientation="portrait" paperSize="9" scale="86"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59"/>
  <sheetViews>
    <sheetView showGridLines="0" showRowColHeaders="0" zoomScalePageLayoutView="0" workbookViewId="0" topLeftCell="A1">
      <pane ySplit="8" topLeftCell="A9" activePane="bottomLeft" state="frozen"/>
      <selection pane="topLeft" activeCell="A1" sqref="A1"/>
      <selection pane="bottomLeft" activeCell="A3" sqref="A3:K3"/>
    </sheetView>
  </sheetViews>
  <sheetFormatPr defaultColWidth="0" defaultRowHeight="12.75" zeroHeight="1"/>
  <cols>
    <col min="1" max="3" width="7.7109375" style="1" customWidth="1"/>
    <col min="4" max="4" width="9.7109375" style="1" customWidth="1"/>
    <col min="5" max="8" width="7.7109375" style="1" customWidth="1"/>
    <col min="9" max="9" width="5.7109375" style="2" customWidth="1"/>
    <col min="10" max="10" width="7.7109375" style="2" customWidth="1"/>
    <col min="11" max="12" width="14.7109375" style="3" customWidth="1"/>
    <col min="13" max="13" width="0.85546875" style="3" customWidth="1"/>
    <col min="14" max="14" width="9.140625" style="3" hidden="1" customWidth="1"/>
    <col min="15" max="18" width="5.7109375" style="3" hidden="1" customWidth="1"/>
    <col min="19" max="16384" width="0" style="3" hidden="1" customWidth="1"/>
  </cols>
  <sheetData>
    <row r="1" spans="1:18" ht="19.5" customHeight="1">
      <c r="A1" s="320" t="s">
        <v>1801</v>
      </c>
      <c r="B1" s="321"/>
      <c r="C1" s="88" t="s">
        <v>396</v>
      </c>
      <c r="D1" s="85" t="s">
        <v>1802</v>
      </c>
      <c r="E1" s="85" t="s">
        <v>305</v>
      </c>
      <c r="F1" s="106" t="s">
        <v>1792</v>
      </c>
      <c r="G1" s="85" t="s">
        <v>397</v>
      </c>
      <c r="H1" s="106" t="s">
        <v>398</v>
      </c>
      <c r="I1" s="85" t="s">
        <v>306</v>
      </c>
      <c r="J1" s="86" t="s">
        <v>399</v>
      </c>
      <c r="K1" s="48"/>
      <c r="O1" s="26">
        <f>IF(SUM(K10:L59)&lt;&gt;0,1,0)</f>
        <v>1</v>
      </c>
      <c r="P1" s="26">
        <f>IF(SUM(K10:K59)&lt;&gt;0,1,0)</f>
        <v>1</v>
      </c>
      <c r="Q1" s="26">
        <f>IF(SUM(K10:K55)&lt;&gt;0,1,0)</f>
        <v>1</v>
      </c>
      <c r="R1" s="26">
        <f>IF(SUM(L10:L55)&lt;&gt;0,1,0)</f>
        <v>1</v>
      </c>
    </row>
    <row r="2" spans="1:18" ht="19.5" customHeight="1" thickBot="1">
      <c r="A2" s="322"/>
      <c r="B2" s="323"/>
      <c r="C2" s="89" t="s">
        <v>1803</v>
      </c>
      <c r="D2" s="90" t="s">
        <v>308</v>
      </c>
      <c r="E2" s="90" t="s">
        <v>1804</v>
      </c>
      <c r="F2" s="90" t="s">
        <v>307</v>
      </c>
      <c r="G2" s="90" t="s">
        <v>401</v>
      </c>
      <c r="H2" s="91" t="s">
        <v>402</v>
      </c>
      <c r="I2" s="87"/>
      <c r="J2" s="87"/>
      <c r="K2" s="19"/>
      <c r="L2"/>
      <c r="P2" s="26">
        <f>IF(SUM(L10:L59)&lt;&gt;0,1,0)</f>
        <v>1</v>
      </c>
      <c r="Q2" s="3">
        <f>IF(SUM(K57:K59)&lt;&gt;0,1,0)</f>
        <v>0</v>
      </c>
      <c r="R2" s="3">
        <f>IF(SUM(L57:L59)&lt;&gt;0,1,0)</f>
        <v>0</v>
      </c>
    </row>
    <row r="3" spans="1:12" ht="19.5" customHeight="1">
      <c r="A3" s="497" t="s">
        <v>946</v>
      </c>
      <c r="B3" s="498"/>
      <c r="C3" s="498"/>
      <c r="D3" s="498"/>
      <c r="E3" s="498"/>
      <c r="F3" s="498"/>
      <c r="G3" s="498"/>
      <c r="H3" s="498"/>
      <c r="I3" s="498"/>
      <c r="J3" s="498"/>
      <c r="K3" s="499"/>
      <c r="L3" s="495" t="s">
        <v>1625</v>
      </c>
    </row>
    <row r="4" spans="1:12" ht="19.5" customHeight="1" thickBot="1">
      <c r="A4" s="500" t="str">
        <f>"stanje na dan "&amp;IF(Opci!H5&lt;&gt;"",TEXT(Opci!H5,"DD.MM.YYYY."),"__.__.____.")</f>
        <v>stanje na dan 31.12.2013.</v>
      </c>
      <c r="B4" s="501"/>
      <c r="C4" s="501"/>
      <c r="D4" s="501"/>
      <c r="E4" s="501"/>
      <c r="F4" s="501"/>
      <c r="G4" s="501"/>
      <c r="H4" s="501"/>
      <c r="I4" s="501"/>
      <c r="J4" s="501"/>
      <c r="K4" s="502"/>
      <c r="L4" s="496"/>
    </row>
    <row r="5" spans="1:12" ht="4.5" customHeight="1">
      <c r="A5" s="39"/>
      <c r="B5" s="52"/>
      <c r="C5" s="52"/>
      <c r="D5" s="52"/>
      <c r="E5" s="52"/>
      <c r="F5" s="52"/>
      <c r="G5" s="52"/>
      <c r="H5" s="52"/>
      <c r="I5" s="52"/>
      <c r="J5" s="52"/>
      <c r="K5" s="52"/>
      <c r="L5" s="53"/>
    </row>
    <row r="6" spans="1:12" ht="19.5" customHeight="1">
      <c r="A6" s="507" t="str">
        <f>"Obveznik: "&amp;IF(Opci!C23&lt;&gt;"",Opci!C23,"________")&amp;"; "&amp;IF(Opci!C25&lt;&gt;"",Opci!C25,"_____________________________________________________________"&amp;"; "&amp;IF(Opci!F27&lt;&gt;"",Opci!F27,"_______________"))</f>
        <v>Obveznik: 32247795989; CROATIA BANKA d.d.</v>
      </c>
      <c r="B6" s="508"/>
      <c r="C6" s="508"/>
      <c r="D6" s="508"/>
      <c r="E6" s="508"/>
      <c r="F6" s="508"/>
      <c r="G6" s="508"/>
      <c r="H6" s="508"/>
      <c r="I6" s="508"/>
      <c r="J6" s="508"/>
      <c r="K6" s="508"/>
      <c r="L6" s="509"/>
    </row>
    <row r="7" spans="1:12" ht="21.75" customHeight="1" thickBot="1">
      <c r="A7" s="503" t="s">
        <v>2059</v>
      </c>
      <c r="B7" s="504"/>
      <c r="C7" s="504"/>
      <c r="D7" s="504"/>
      <c r="E7" s="504"/>
      <c r="F7" s="504"/>
      <c r="G7" s="504"/>
      <c r="H7" s="505"/>
      <c r="I7" s="99" t="s">
        <v>407</v>
      </c>
      <c r="J7" s="99" t="s">
        <v>717</v>
      </c>
      <c r="K7" s="103" t="s">
        <v>272</v>
      </c>
      <c r="L7" s="100" t="s">
        <v>273</v>
      </c>
    </row>
    <row r="8" spans="1:12" ht="13.5" customHeight="1">
      <c r="A8" s="506">
        <v>1</v>
      </c>
      <c r="B8" s="506"/>
      <c r="C8" s="506"/>
      <c r="D8" s="506"/>
      <c r="E8" s="506"/>
      <c r="F8" s="506"/>
      <c r="G8" s="506"/>
      <c r="H8" s="506"/>
      <c r="I8" s="102">
        <v>2</v>
      </c>
      <c r="J8" s="102">
        <v>3</v>
      </c>
      <c r="K8" s="101">
        <v>4</v>
      </c>
      <c r="L8" s="101">
        <v>5</v>
      </c>
    </row>
    <row r="9" spans="1:12" ht="13.5" customHeight="1">
      <c r="A9" s="510" t="s">
        <v>1041</v>
      </c>
      <c r="B9" s="511"/>
      <c r="C9" s="511"/>
      <c r="D9" s="511"/>
      <c r="E9" s="511"/>
      <c r="F9" s="511"/>
      <c r="G9" s="511"/>
      <c r="H9" s="511"/>
      <c r="I9" s="511"/>
      <c r="J9" s="511"/>
      <c r="K9" s="511"/>
      <c r="L9" s="512"/>
    </row>
    <row r="10" spans="1:12" ht="13.5" customHeight="1">
      <c r="A10" s="516" t="s">
        <v>1174</v>
      </c>
      <c r="B10" s="517"/>
      <c r="C10" s="517"/>
      <c r="D10" s="517"/>
      <c r="E10" s="517"/>
      <c r="F10" s="517"/>
      <c r="G10" s="517"/>
      <c r="H10" s="518"/>
      <c r="I10" s="170">
        <v>1</v>
      </c>
      <c r="J10" s="242"/>
      <c r="K10" s="251">
        <f>SUM(K11:K12)</f>
        <v>193626665</v>
      </c>
      <c r="L10" s="251">
        <f>SUM(L11:L12)</f>
        <v>309018601</v>
      </c>
    </row>
    <row r="11" spans="1:12" ht="13.5" customHeight="1">
      <c r="A11" s="513" t="s">
        <v>1042</v>
      </c>
      <c r="B11" s="514"/>
      <c r="C11" s="514"/>
      <c r="D11" s="514"/>
      <c r="E11" s="514"/>
      <c r="F11" s="514"/>
      <c r="G11" s="514"/>
      <c r="H11" s="515"/>
      <c r="I11" s="171">
        <v>2</v>
      </c>
      <c r="J11" s="242"/>
      <c r="K11" s="241">
        <v>25609717</v>
      </c>
      <c r="L11" s="241">
        <v>26386372</v>
      </c>
    </row>
    <row r="12" spans="1:12" ht="13.5" customHeight="1">
      <c r="A12" s="513" t="s">
        <v>1043</v>
      </c>
      <c r="B12" s="514"/>
      <c r="C12" s="514"/>
      <c r="D12" s="514"/>
      <c r="E12" s="514"/>
      <c r="F12" s="514"/>
      <c r="G12" s="514"/>
      <c r="H12" s="515"/>
      <c r="I12" s="171">
        <v>3</v>
      </c>
      <c r="J12" s="242"/>
      <c r="K12" s="241">
        <v>168016948</v>
      </c>
      <c r="L12" s="241">
        <v>282632229</v>
      </c>
    </row>
    <row r="13" spans="1:12" ht="13.5" customHeight="1">
      <c r="A13" s="513" t="s">
        <v>1044</v>
      </c>
      <c r="B13" s="514"/>
      <c r="C13" s="514"/>
      <c r="D13" s="514"/>
      <c r="E13" s="514"/>
      <c r="F13" s="514"/>
      <c r="G13" s="514"/>
      <c r="H13" s="515"/>
      <c r="I13" s="171">
        <v>4</v>
      </c>
      <c r="J13" s="242"/>
      <c r="K13" s="241">
        <v>158461910</v>
      </c>
      <c r="L13" s="241">
        <v>212383961</v>
      </c>
    </row>
    <row r="14" spans="1:12" ht="13.5" customHeight="1">
      <c r="A14" s="513" t="s">
        <v>1045</v>
      </c>
      <c r="B14" s="514"/>
      <c r="C14" s="514"/>
      <c r="D14" s="514"/>
      <c r="E14" s="514"/>
      <c r="F14" s="514"/>
      <c r="G14" s="514"/>
      <c r="H14" s="515"/>
      <c r="I14" s="171">
        <v>5</v>
      </c>
      <c r="J14" s="242"/>
      <c r="K14" s="241">
        <v>241068428</v>
      </c>
      <c r="L14" s="241">
        <v>184778831</v>
      </c>
    </row>
    <row r="15" spans="1:12" ht="24.75" customHeight="1">
      <c r="A15" s="513" t="s">
        <v>554</v>
      </c>
      <c r="B15" s="514"/>
      <c r="C15" s="514"/>
      <c r="D15" s="514"/>
      <c r="E15" s="514"/>
      <c r="F15" s="514"/>
      <c r="G15" s="514"/>
      <c r="H15" s="515"/>
      <c r="I15" s="171">
        <v>6</v>
      </c>
      <c r="J15" s="242"/>
      <c r="K15" s="241">
        <v>0</v>
      </c>
      <c r="L15" s="241">
        <v>5081354</v>
      </c>
    </row>
    <row r="16" spans="1:12" ht="24.75" customHeight="1">
      <c r="A16" s="513" t="s">
        <v>555</v>
      </c>
      <c r="B16" s="514"/>
      <c r="C16" s="514"/>
      <c r="D16" s="514"/>
      <c r="E16" s="514"/>
      <c r="F16" s="514"/>
      <c r="G16" s="514"/>
      <c r="H16" s="515"/>
      <c r="I16" s="171">
        <v>7</v>
      </c>
      <c r="J16" s="242"/>
      <c r="K16" s="241">
        <v>194786099</v>
      </c>
      <c r="L16" s="241">
        <v>147027176</v>
      </c>
    </row>
    <row r="17" spans="1:12" ht="24.75" customHeight="1">
      <c r="A17" s="513" t="s">
        <v>1046</v>
      </c>
      <c r="B17" s="514"/>
      <c r="C17" s="514"/>
      <c r="D17" s="514"/>
      <c r="E17" s="514"/>
      <c r="F17" s="514"/>
      <c r="G17" s="514"/>
      <c r="H17" s="515"/>
      <c r="I17" s="171">
        <v>8</v>
      </c>
      <c r="J17" s="242"/>
      <c r="K17" s="241">
        <v>0</v>
      </c>
      <c r="L17" s="241">
        <v>0</v>
      </c>
    </row>
    <row r="18" spans="1:12" ht="24.75" customHeight="1">
      <c r="A18" s="519" t="s">
        <v>2168</v>
      </c>
      <c r="B18" s="520"/>
      <c r="C18" s="520"/>
      <c r="D18" s="520"/>
      <c r="E18" s="520"/>
      <c r="F18" s="520"/>
      <c r="G18" s="520"/>
      <c r="H18" s="521"/>
      <c r="I18" s="171">
        <v>9</v>
      </c>
      <c r="J18" s="242"/>
      <c r="K18" s="241">
        <v>0</v>
      </c>
      <c r="L18" s="241">
        <v>0</v>
      </c>
    </row>
    <row r="19" spans="1:12" ht="13.5" customHeight="1">
      <c r="A19" s="513" t="s">
        <v>1047</v>
      </c>
      <c r="B19" s="514"/>
      <c r="C19" s="514"/>
      <c r="D19" s="514"/>
      <c r="E19" s="514"/>
      <c r="F19" s="514"/>
      <c r="G19" s="514"/>
      <c r="H19" s="515"/>
      <c r="I19" s="171">
        <v>10</v>
      </c>
      <c r="J19" s="242"/>
      <c r="K19" s="241">
        <v>113278</v>
      </c>
      <c r="L19" s="241">
        <v>41822</v>
      </c>
    </row>
    <row r="20" spans="1:12" ht="13.5" customHeight="1">
      <c r="A20" s="513" t="s">
        <v>1048</v>
      </c>
      <c r="B20" s="514"/>
      <c r="C20" s="514"/>
      <c r="D20" s="514"/>
      <c r="E20" s="514"/>
      <c r="F20" s="514"/>
      <c r="G20" s="514"/>
      <c r="H20" s="515"/>
      <c r="I20" s="171">
        <v>11</v>
      </c>
      <c r="J20" s="242"/>
      <c r="K20" s="241">
        <v>53392629</v>
      </c>
      <c r="L20" s="241">
        <v>33613197</v>
      </c>
    </row>
    <row r="21" spans="1:12" ht="13.5" customHeight="1">
      <c r="A21" s="513" t="s">
        <v>1049</v>
      </c>
      <c r="B21" s="514"/>
      <c r="C21" s="514"/>
      <c r="D21" s="514"/>
      <c r="E21" s="514"/>
      <c r="F21" s="514"/>
      <c r="G21" s="514"/>
      <c r="H21" s="515"/>
      <c r="I21" s="171">
        <v>12</v>
      </c>
      <c r="J21" s="242"/>
      <c r="K21" s="241">
        <v>1004150744</v>
      </c>
      <c r="L21" s="241">
        <v>1605282549</v>
      </c>
    </row>
    <row r="22" spans="1:12" ht="13.5" customHeight="1">
      <c r="A22" s="522" t="s">
        <v>2169</v>
      </c>
      <c r="B22" s="523"/>
      <c r="C22" s="523"/>
      <c r="D22" s="523"/>
      <c r="E22" s="523"/>
      <c r="F22" s="523"/>
      <c r="G22" s="523"/>
      <c r="H22" s="524"/>
      <c r="I22" s="171">
        <v>13</v>
      </c>
      <c r="J22" s="242"/>
      <c r="K22" s="241">
        <v>0</v>
      </c>
      <c r="L22" s="241">
        <v>0</v>
      </c>
    </row>
    <row r="23" spans="1:12" ht="13.5" customHeight="1">
      <c r="A23" s="513" t="s">
        <v>1050</v>
      </c>
      <c r="B23" s="514"/>
      <c r="C23" s="514"/>
      <c r="D23" s="514"/>
      <c r="E23" s="514"/>
      <c r="F23" s="514"/>
      <c r="G23" s="514"/>
      <c r="H23" s="515"/>
      <c r="I23" s="171">
        <v>14</v>
      </c>
      <c r="J23" s="242"/>
      <c r="K23" s="241">
        <v>60245894</v>
      </c>
      <c r="L23" s="241">
        <v>61905031</v>
      </c>
    </row>
    <row r="24" spans="1:12" ht="13.5" customHeight="1">
      <c r="A24" s="513" t="s">
        <v>1051</v>
      </c>
      <c r="B24" s="514"/>
      <c r="C24" s="514"/>
      <c r="D24" s="514"/>
      <c r="E24" s="514"/>
      <c r="F24" s="514"/>
      <c r="G24" s="514"/>
      <c r="H24" s="515"/>
      <c r="I24" s="171">
        <v>15</v>
      </c>
      <c r="J24" s="242"/>
      <c r="K24" s="241">
        <v>21410077</v>
      </c>
      <c r="L24" s="241">
        <v>20981884</v>
      </c>
    </row>
    <row r="25" spans="1:12" ht="13.5" customHeight="1">
      <c r="A25" s="513" t="s">
        <v>552</v>
      </c>
      <c r="B25" s="514"/>
      <c r="C25" s="514"/>
      <c r="D25" s="514"/>
      <c r="E25" s="514"/>
      <c r="F25" s="514"/>
      <c r="G25" s="514"/>
      <c r="H25" s="515"/>
      <c r="I25" s="171">
        <v>16</v>
      </c>
      <c r="J25" s="242"/>
      <c r="K25" s="241">
        <v>56880759</v>
      </c>
      <c r="L25" s="241">
        <v>48438442</v>
      </c>
    </row>
    <row r="26" spans="1:12" ht="13.5" customHeight="1">
      <c r="A26" s="525" t="s">
        <v>1173</v>
      </c>
      <c r="B26" s="526"/>
      <c r="C26" s="526"/>
      <c r="D26" s="526"/>
      <c r="E26" s="526"/>
      <c r="F26" s="526"/>
      <c r="G26" s="526"/>
      <c r="H26" s="527"/>
      <c r="I26" s="172">
        <v>17</v>
      </c>
      <c r="J26" s="242"/>
      <c r="K26" s="252">
        <f>SUM(K13:K25)+K10</f>
        <v>1984136483</v>
      </c>
      <c r="L26" s="252">
        <f>SUM(L13:L25)+L10</f>
        <v>2628552848</v>
      </c>
    </row>
    <row r="27" spans="1:12" ht="13.5" customHeight="1">
      <c r="A27" s="485" t="s">
        <v>553</v>
      </c>
      <c r="B27" s="486"/>
      <c r="C27" s="486"/>
      <c r="D27" s="486"/>
      <c r="E27" s="486"/>
      <c r="F27" s="486"/>
      <c r="G27" s="486"/>
      <c r="H27" s="486"/>
      <c r="I27" s="486"/>
      <c r="J27" s="486"/>
      <c r="K27" s="486"/>
      <c r="L27" s="487"/>
    </row>
    <row r="28" spans="1:12" ht="13.5" customHeight="1">
      <c r="A28" s="534" t="s">
        <v>1175</v>
      </c>
      <c r="B28" s="535"/>
      <c r="C28" s="535"/>
      <c r="D28" s="535"/>
      <c r="E28" s="535"/>
      <c r="F28" s="535"/>
      <c r="G28" s="535"/>
      <c r="H28" s="536"/>
      <c r="I28" s="4">
        <v>18</v>
      </c>
      <c r="J28" s="244"/>
      <c r="K28" s="251">
        <f>SUM(K29:K30)</f>
        <v>223309208</v>
      </c>
      <c r="L28" s="251">
        <f>SUM(L29:L30)</f>
        <v>278075596</v>
      </c>
    </row>
    <row r="29" spans="1:12" ht="13.5" customHeight="1">
      <c r="A29" s="489" t="s">
        <v>556</v>
      </c>
      <c r="B29" s="490"/>
      <c r="C29" s="490"/>
      <c r="D29" s="490"/>
      <c r="E29" s="490"/>
      <c r="F29" s="490"/>
      <c r="G29" s="490"/>
      <c r="H29" s="491"/>
      <c r="I29" s="4">
        <v>19</v>
      </c>
      <c r="J29" s="244"/>
      <c r="K29" s="253">
        <v>35000000</v>
      </c>
      <c r="L29" s="253">
        <v>71035028</v>
      </c>
    </row>
    <row r="30" spans="1:12" ht="13.5" customHeight="1">
      <c r="A30" s="489" t="s">
        <v>557</v>
      </c>
      <c r="B30" s="490"/>
      <c r="C30" s="490"/>
      <c r="D30" s="490"/>
      <c r="E30" s="490"/>
      <c r="F30" s="490"/>
      <c r="G30" s="490"/>
      <c r="H30" s="491"/>
      <c r="I30" s="4">
        <v>20</v>
      </c>
      <c r="J30" s="244"/>
      <c r="K30" s="253">
        <v>188309208</v>
      </c>
      <c r="L30" s="253">
        <v>207040568</v>
      </c>
    </row>
    <row r="31" spans="1:12" ht="13.5" customHeight="1">
      <c r="A31" s="489" t="s">
        <v>558</v>
      </c>
      <c r="B31" s="490"/>
      <c r="C31" s="490"/>
      <c r="D31" s="490"/>
      <c r="E31" s="490"/>
      <c r="F31" s="490"/>
      <c r="G31" s="490"/>
      <c r="H31" s="491"/>
      <c r="I31" s="4">
        <v>21</v>
      </c>
      <c r="J31" s="244"/>
      <c r="K31" s="254">
        <f>SUM(K32:K34)</f>
        <v>1445655419</v>
      </c>
      <c r="L31" s="254">
        <f>SUM(L32:L34)</f>
        <v>2046352507</v>
      </c>
    </row>
    <row r="32" spans="1:12" ht="13.5" customHeight="1">
      <c r="A32" s="489" t="s">
        <v>559</v>
      </c>
      <c r="B32" s="490"/>
      <c r="C32" s="490"/>
      <c r="D32" s="490"/>
      <c r="E32" s="490"/>
      <c r="F32" s="490"/>
      <c r="G32" s="490"/>
      <c r="H32" s="491"/>
      <c r="I32" s="4">
        <v>22</v>
      </c>
      <c r="J32" s="244"/>
      <c r="K32" s="253">
        <v>213659016</v>
      </c>
      <c r="L32" s="253">
        <v>234155740</v>
      </c>
    </row>
    <row r="33" spans="1:12" ht="13.5" customHeight="1">
      <c r="A33" s="489" t="s">
        <v>560</v>
      </c>
      <c r="B33" s="490"/>
      <c r="C33" s="490"/>
      <c r="D33" s="490"/>
      <c r="E33" s="490"/>
      <c r="F33" s="490"/>
      <c r="G33" s="490"/>
      <c r="H33" s="491"/>
      <c r="I33" s="4">
        <v>23</v>
      </c>
      <c r="J33" s="244"/>
      <c r="K33" s="253">
        <v>75984902</v>
      </c>
      <c r="L33" s="253">
        <v>89044732</v>
      </c>
    </row>
    <row r="34" spans="1:12" ht="13.5" customHeight="1">
      <c r="A34" s="489" t="s">
        <v>561</v>
      </c>
      <c r="B34" s="490"/>
      <c r="C34" s="490"/>
      <c r="D34" s="490"/>
      <c r="E34" s="490"/>
      <c r="F34" s="490"/>
      <c r="G34" s="490"/>
      <c r="H34" s="491"/>
      <c r="I34" s="4">
        <v>24</v>
      </c>
      <c r="J34" s="244"/>
      <c r="K34" s="253">
        <v>1156011501</v>
      </c>
      <c r="L34" s="253">
        <v>1723152035</v>
      </c>
    </row>
    <row r="35" spans="1:12" ht="13.5" customHeight="1">
      <c r="A35" s="489" t="s">
        <v>1172</v>
      </c>
      <c r="B35" s="490"/>
      <c r="C35" s="490"/>
      <c r="D35" s="490"/>
      <c r="E35" s="490"/>
      <c r="F35" s="490"/>
      <c r="G35" s="490"/>
      <c r="H35" s="491"/>
      <c r="I35" s="4">
        <v>25</v>
      </c>
      <c r="J35" s="244"/>
      <c r="K35" s="254">
        <f>SUM(K36:K37)</f>
        <v>22636872</v>
      </c>
      <c r="L35" s="254">
        <f>SUM(L36:L37)</f>
        <v>22912929</v>
      </c>
    </row>
    <row r="36" spans="1:12" ht="13.5" customHeight="1">
      <c r="A36" s="489" t="s">
        <v>562</v>
      </c>
      <c r="B36" s="490"/>
      <c r="C36" s="490"/>
      <c r="D36" s="490"/>
      <c r="E36" s="490"/>
      <c r="F36" s="490"/>
      <c r="G36" s="490"/>
      <c r="H36" s="491"/>
      <c r="I36" s="4">
        <v>26</v>
      </c>
      <c r="J36" s="244"/>
      <c r="K36" s="253">
        <v>22636872</v>
      </c>
      <c r="L36" s="253">
        <v>22912929</v>
      </c>
    </row>
    <row r="37" spans="1:12" ht="13.5" customHeight="1">
      <c r="A37" s="489" t="s">
        <v>563</v>
      </c>
      <c r="B37" s="490"/>
      <c r="C37" s="490"/>
      <c r="D37" s="490"/>
      <c r="E37" s="490"/>
      <c r="F37" s="490"/>
      <c r="G37" s="490"/>
      <c r="H37" s="491"/>
      <c r="I37" s="4">
        <v>27</v>
      </c>
      <c r="J37" s="244"/>
      <c r="K37" s="253">
        <v>0</v>
      </c>
      <c r="L37" s="253">
        <v>0</v>
      </c>
    </row>
    <row r="38" spans="1:12" ht="24.75" customHeight="1">
      <c r="A38" s="489" t="s">
        <v>570</v>
      </c>
      <c r="B38" s="490"/>
      <c r="C38" s="490"/>
      <c r="D38" s="490"/>
      <c r="E38" s="490"/>
      <c r="F38" s="490"/>
      <c r="G38" s="490"/>
      <c r="H38" s="491"/>
      <c r="I38" s="4">
        <v>28</v>
      </c>
      <c r="J38" s="244"/>
      <c r="K38" s="253">
        <v>106299</v>
      </c>
      <c r="L38" s="253">
        <v>40982</v>
      </c>
    </row>
    <row r="39" spans="1:12" ht="13.5" customHeight="1">
      <c r="A39" s="489" t="s">
        <v>1176</v>
      </c>
      <c r="B39" s="490"/>
      <c r="C39" s="490"/>
      <c r="D39" s="490"/>
      <c r="E39" s="490"/>
      <c r="F39" s="490"/>
      <c r="G39" s="490"/>
      <c r="H39" s="491"/>
      <c r="I39" s="4">
        <v>29</v>
      </c>
      <c r="J39" s="244"/>
      <c r="K39" s="254">
        <f>SUM(K40:K41)</f>
        <v>0</v>
      </c>
      <c r="L39" s="254">
        <f>SUM(L40:L41)</f>
        <v>0</v>
      </c>
    </row>
    <row r="40" spans="1:12" ht="13.5" customHeight="1">
      <c r="A40" s="489" t="s">
        <v>564</v>
      </c>
      <c r="B40" s="490"/>
      <c r="C40" s="490"/>
      <c r="D40" s="490"/>
      <c r="E40" s="490"/>
      <c r="F40" s="490"/>
      <c r="G40" s="490"/>
      <c r="H40" s="491"/>
      <c r="I40" s="4">
        <v>30</v>
      </c>
      <c r="J40" s="244"/>
      <c r="K40" s="253">
        <v>0</v>
      </c>
      <c r="L40" s="253">
        <v>0</v>
      </c>
    </row>
    <row r="41" spans="1:12" ht="13.5" customHeight="1">
      <c r="A41" s="489" t="s">
        <v>565</v>
      </c>
      <c r="B41" s="490"/>
      <c r="C41" s="490"/>
      <c r="D41" s="490"/>
      <c r="E41" s="490"/>
      <c r="F41" s="490"/>
      <c r="G41" s="490"/>
      <c r="H41" s="491"/>
      <c r="I41" s="4">
        <v>31</v>
      </c>
      <c r="J41" s="244"/>
      <c r="K41" s="253">
        <v>0</v>
      </c>
      <c r="L41" s="253">
        <v>0</v>
      </c>
    </row>
    <row r="42" spans="1:12" ht="13.5" customHeight="1">
      <c r="A42" s="489" t="s">
        <v>566</v>
      </c>
      <c r="B42" s="490"/>
      <c r="C42" s="490"/>
      <c r="D42" s="490"/>
      <c r="E42" s="490"/>
      <c r="F42" s="490"/>
      <c r="G42" s="490"/>
      <c r="H42" s="491"/>
      <c r="I42" s="4">
        <v>32</v>
      </c>
      <c r="J42" s="244"/>
      <c r="K42" s="253">
        <v>0</v>
      </c>
      <c r="L42" s="253">
        <v>0</v>
      </c>
    </row>
    <row r="43" spans="1:12" ht="13.5" customHeight="1">
      <c r="A43" s="489" t="s">
        <v>567</v>
      </c>
      <c r="B43" s="490"/>
      <c r="C43" s="490"/>
      <c r="D43" s="490"/>
      <c r="E43" s="490"/>
      <c r="F43" s="490"/>
      <c r="G43" s="490"/>
      <c r="H43" s="491"/>
      <c r="I43" s="4">
        <v>33</v>
      </c>
      <c r="J43" s="244"/>
      <c r="K43" s="253">
        <v>0</v>
      </c>
      <c r="L43" s="253">
        <v>0</v>
      </c>
    </row>
    <row r="44" spans="1:12" ht="13.5" customHeight="1">
      <c r="A44" s="489" t="s">
        <v>568</v>
      </c>
      <c r="B44" s="490"/>
      <c r="C44" s="490"/>
      <c r="D44" s="490"/>
      <c r="E44" s="490"/>
      <c r="F44" s="490"/>
      <c r="G44" s="490"/>
      <c r="H44" s="491"/>
      <c r="I44" s="4">
        <v>34</v>
      </c>
      <c r="J44" s="244"/>
      <c r="K44" s="253">
        <v>72376630</v>
      </c>
      <c r="L44" s="253">
        <v>85946481</v>
      </c>
    </row>
    <row r="45" spans="1:12" ht="13.5" customHeight="1">
      <c r="A45" s="537" t="s">
        <v>1171</v>
      </c>
      <c r="B45" s="538"/>
      <c r="C45" s="538"/>
      <c r="D45" s="538"/>
      <c r="E45" s="538"/>
      <c r="F45" s="538"/>
      <c r="G45" s="538"/>
      <c r="H45" s="539"/>
      <c r="I45" s="5">
        <v>35</v>
      </c>
      <c r="J45" s="244"/>
      <c r="K45" s="252">
        <f>K28+K31+K35+K38+K39+K42+K43+K44</f>
        <v>1764084428</v>
      </c>
      <c r="L45" s="252">
        <f>L28+L31+L35+L38+L39+L42+L43+L44</f>
        <v>2433328495</v>
      </c>
    </row>
    <row r="46" spans="1:12" ht="13.5" customHeight="1">
      <c r="A46" s="485" t="s">
        <v>569</v>
      </c>
      <c r="B46" s="486"/>
      <c r="C46" s="486"/>
      <c r="D46" s="486"/>
      <c r="E46" s="486"/>
      <c r="F46" s="486"/>
      <c r="G46" s="486"/>
      <c r="H46" s="486"/>
      <c r="I46" s="486"/>
      <c r="J46" s="486"/>
      <c r="K46" s="486"/>
      <c r="L46" s="487"/>
    </row>
    <row r="47" spans="1:12" ht="13.5" customHeight="1">
      <c r="A47" s="534" t="s">
        <v>571</v>
      </c>
      <c r="B47" s="535"/>
      <c r="C47" s="535"/>
      <c r="D47" s="535"/>
      <c r="E47" s="535"/>
      <c r="F47" s="535"/>
      <c r="G47" s="535"/>
      <c r="H47" s="536"/>
      <c r="I47" s="4">
        <v>36</v>
      </c>
      <c r="J47" s="244"/>
      <c r="K47" s="240">
        <v>474600000</v>
      </c>
      <c r="L47" s="240">
        <v>474600000</v>
      </c>
    </row>
    <row r="48" spans="1:12" ht="13.5" customHeight="1">
      <c r="A48" s="489" t="s">
        <v>572</v>
      </c>
      <c r="B48" s="490"/>
      <c r="C48" s="490"/>
      <c r="D48" s="490"/>
      <c r="E48" s="490"/>
      <c r="F48" s="490"/>
      <c r="G48" s="490"/>
      <c r="H48" s="491"/>
      <c r="I48" s="4">
        <v>37</v>
      </c>
      <c r="J48" s="245"/>
      <c r="K48" s="241">
        <v>-103600924.4</v>
      </c>
      <c r="L48" s="241">
        <v>-24644460</v>
      </c>
    </row>
    <row r="49" spans="1:12" ht="13.5" customHeight="1">
      <c r="A49" s="489" t="s">
        <v>573</v>
      </c>
      <c r="B49" s="490"/>
      <c r="C49" s="490"/>
      <c r="D49" s="490"/>
      <c r="E49" s="490"/>
      <c r="F49" s="490"/>
      <c r="G49" s="490"/>
      <c r="H49" s="491"/>
      <c r="I49" s="4">
        <v>38</v>
      </c>
      <c r="J49" s="245"/>
      <c r="K49" s="241">
        <v>-152714205</v>
      </c>
      <c r="L49" s="241">
        <v>-256315130</v>
      </c>
    </row>
    <row r="50" spans="1:12" ht="13.5" customHeight="1">
      <c r="A50" s="489" t="s">
        <v>574</v>
      </c>
      <c r="B50" s="490"/>
      <c r="C50" s="490"/>
      <c r="D50" s="490"/>
      <c r="E50" s="490"/>
      <c r="F50" s="490"/>
      <c r="G50" s="490"/>
      <c r="H50" s="491"/>
      <c r="I50" s="4">
        <v>39</v>
      </c>
      <c r="J50" s="244"/>
      <c r="K50" s="241">
        <v>0</v>
      </c>
      <c r="L50" s="241">
        <v>0</v>
      </c>
    </row>
    <row r="51" spans="1:12" ht="13.5" customHeight="1">
      <c r="A51" s="489" t="s">
        <v>575</v>
      </c>
      <c r="B51" s="490"/>
      <c r="C51" s="490"/>
      <c r="D51" s="490"/>
      <c r="E51" s="490"/>
      <c r="F51" s="490"/>
      <c r="G51" s="490"/>
      <c r="H51" s="491"/>
      <c r="I51" s="4">
        <v>40</v>
      </c>
      <c r="J51" s="244"/>
      <c r="K51" s="241">
        <v>0</v>
      </c>
      <c r="L51" s="241">
        <v>0</v>
      </c>
    </row>
    <row r="52" spans="1:12" ht="24.75" customHeight="1">
      <c r="A52" s="489" t="s">
        <v>576</v>
      </c>
      <c r="B52" s="490"/>
      <c r="C52" s="490"/>
      <c r="D52" s="490"/>
      <c r="E52" s="490"/>
      <c r="F52" s="490"/>
      <c r="G52" s="490"/>
      <c r="H52" s="491"/>
      <c r="I52" s="4">
        <v>41</v>
      </c>
      <c r="J52" s="245"/>
      <c r="K52" s="241">
        <v>1767184.4</v>
      </c>
      <c r="L52" s="241">
        <v>1583943</v>
      </c>
    </row>
    <row r="53" spans="1:12" ht="13.5" customHeight="1">
      <c r="A53" s="489" t="s">
        <v>577</v>
      </c>
      <c r="B53" s="490"/>
      <c r="C53" s="490"/>
      <c r="D53" s="490"/>
      <c r="E53" s="490"/>
      <c r="F53" s="490"/>
      <c r="G53" s="490"/>
      <c r="H53" s="491"/>
      <c r="I53" s="4">
        <v>42</v>
      </c>
      <c r="J53" s="245"/>
      <c r="K53" s="241">
        <v>0</v>
      </c>
      <c r="L53" s="241">
        <v>0</v>
      </c>
    </row>
    <row r="54" spans="1:12" ht="13.5" customHeight="1">
      <c r="A54" s="492" t="s">
        <v>714</v>
      </c>
      <c r="B54" s="493"/>
      <c r="C54" s="493"/>
      <c r="D54" s="493"/>
      <c r="E54" s="493"/>
      <c r="F54" s="493"/>
      <c r="G54" s="493"/>
      <c r="H54" s="494"/>
      <c r="I54" s="4">
        <v>43</v>
      </c>
      <c r="J54" s="245"/>
      <c r="K54" s="254">
        <f>SUM(K47:K53)</f>
        <v>220052055.00000003</v>
      </c>
      <c r="L54" s="254">
        <f>SUM(L47:L53)</f>
        <v>195224353</v>
      </c>
    </row>
    <row r="55" spans="1:12" ht="13.5" customHeight="1">
      <c r="A55" s="537" t="s">
        <v>578</v>
      </c>
      <c r="B55" s="538"/>
      <c r="C55" s="538"/>
      <c r="D55" s="538"/>
      <c r="E55" s="538"/>
      <c r="F55" s="538"/>
      <c r="G55" s="538"/>
      <c r="H55" s="539"/>
      <c r="I55" s="4">
        <v>44</v>
      </c>
      <c r="J55" s="246"/>
      <c r="K55" s="252">
        <f>K45+K54</f>
        <v>1984136483</v>
      </c>
      <c r="L55" s="252">
        <f>L45+L54</f>
        <v>2628552848</v>
      </c>
    </row>
    <row r="56" spans="1:12" ht="13.5" customHeight="1">
      <c r="A56" s="485" t="s">
        <v>2170</v>
      </c>
      <c r="B56" s="488"/>
      <c r="C56" s="488"/>
      <c r="D56" s="488"/>
      <c r="E56" s="488"/>
      <c r="F56" s="488"/>
      <c r="G56" s="488"/>
      <c r="H56" s="488"/>
      <c r="I56" s="486"/>
      <c r="J56" s="486"/>
      <c r="K56" s="486"/>
      <c r="L56" s="487"/>
    </row>
    <row r="57" spans="1:12" ht="13.5" customHeight="1">
      <c r="A57" s="531" t="s">
        <v>715</v>
      </c>
      <c r="B57" s="532"/>
      <c r="C57" s="532"/>
      <c r="D57" s="532"/>
      <c r="E57" s="532"/>
      <c r="F57" s="532"/>
      <c r="G57" s="532"/>
      <c r="H57" s="533"/>
      <c r="I57" s="4">
        <v>45</v>
      </c>
      <c r="J57" s="244"/>
      <c r="K57" s="251">
        <f>IF(Opci!C41="DA",Bilanca!K54,0)</f>
        <v>0</v>
      </c>
      <c r="L57" s="251">
        <f>IF(Opci!C41="DA",Bilanca!L54,0)</f>
        <v>0</v>
      </c>
    </row>
    <row r="58" spans="1:12" ht="13.5" customHeight="1">
      <c r="A58" s="540" t="s">
        <v>716</v>
      </c>
      <c r="B58" s="541"/>
      <c r="C58" s="541"/>
      <c r="D58" s="541"/>
      <c r="E58" s="541"/>
      <c r="F58" s="541"/>
      <c r="G58" s="541"/>
      <c r="H58" s="542"/>
      <c r="I58" s="4">
        <v>46</v>
      </c>
      <c r="J58" s="244"/>
      <c r="K58" s="241"/>
      <c r="L58" s="241"/>
    </row>
    <row r="59" spans="1:12" ht="13.5" customHeight="1">
      <c r="A59" s="528" t="s">
        <v>1170</v>
      </c>
      <c r="B59" s="529"/>
      <c r="C59" s="529"/>
      <c r="D59" s="529"/>
      <c r="E59" s="529"/>
      <c r="F59" s="529"/>
      <c r="G59" s="529"/>
      <c r="H59" s="530"/>
      <c r="I59" s="8">
        <v>47</v>
      </c>
      <c r="J59" s="246"/>
      <c r="K59" s="252">
        <f>K57-K58</f>
        <v>0</v>
      </c>
      <c r="L59" s="252">
        <f>L57-L58</f>
        <v>0</v>
      </c>
    </row>
    <row r="60" ht="12"/>
    <row r="61" ht="4.5" customHeight="1"/>
    <row r="62" ht="12" hidden="1"/>
  </sheetData>
  <sheetProtection password="C79A" sheet="1" objects="1"/>
  <mergeCells count="58">
    <mergeCell ref="A58:H58"/>
    <mergeCell ref="A46:L46"/>
    <mergeCell ref="A28:H28"/>
    <mergeCell ref="A29:H29"/>
    <mergeCell ref="A30:H30"/>
    <mergeCell ref="A31:H31"/>
    <mergeCell ref="A32:H32"/>
    <mergeCell ref="A33:H33"/>
    <mergeCell ref="A34:H34"/>
    <mergeCell ref="A42:H42"/>
    <mergeCell ref="A40:H40"/>
    <mergeCell ref="A41:H41"/>
    <mergeCell ref="A57:H57"/>
    <mergeCell ref="A43:H43"/>
    <mergeCell ref="A44:H44"/>
    <mergeCell ref="A47:H47"/>
    <mergeCell ref="A45:H45"/>
    <mergeCell ref="A55:H55"/>
    <mergeCell ref="A22:H22"/>
    <mergeCell ref="A23:H23"/>
    <mergeCell ref="A24:H24"/>
    <mergeCell ref="A25:H25"/>
    <mergeCell ref="A26:H26"/>
    <mergeCell ref="A59:H59"/>
    <mergeCell ref="A35:H35"/>
    <mergeCell ref="A36:H36"/>
    <mergeCell ref="A37:H37"/>
    <mergeCell ref="A38:H38"/>
    <mergeCell ref="A16:H16"/>
    <mergeCell ref="A17:H17"/>
    <mergeCell ref="A18:H18"/>
    <mergeCell ref="A19:H19"/>
    <mergeCell ref="A20:H20"/>
    <mergeCell ref="A21:H21"/>
    <mergeCell ref="A9:L9"/>
    <mergeCell ref="A15:H15"/>
    <mergeCell ref="A14:H14"/>
    <mergeCell ref="A10:H10"/>
    <mergeCell ref="A11:H11"/>
    <mergeCell ref="A12:H12"/>
    <mergeCell ref="A13:H13"/>
    <mergeCell ref="A1:B2"/>
    <mergeCell ref="L3:L4"/>
    <mergeCell ref="A3:K3"/>
    <mergeCell ref="A4:K4"/>
    <mergeCell ref="A7:H7"/>
    <mergeCell ref="A8:H8"/>
    <mergeCell ref="A6:L6"/>
    <mergeCell ref="A27:L27"/>
    <mergeCell ref="A56:L56"/>
    <mergeCell ref="A48:H48"/>
    <mergeCell ref="A49:H49"/>
    <mergeCell ref="A50:H50"/>
    <mergeCell ref="A51:H51"/>
    <mergeCell ref="A52:H52"/>
    <mergeCell ref="A53:H53"/>
    <mergeCell ref="A54:H54"/>
    <mergeCell ref="A39:H39"/>
  </mergeCells>
  <conditionalFormatting sqref="K10:L26 K28:L28 J47:J55">
    <cfRule type="cellIs" priority="1" dxfId="2"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J10:J26 J28:J45 J57:J59">
      <formula1>10</formula1>
    </dataValidation>
    <dataValidation type="whole" operator="greaterThanOrEqual" allowBlank="1" showInputMessage="1" showErrorMessage="1" errorTitle="Neispravan unos" error="Dozvoljen je unos samo pozitivnih cjelobrojnih (zaokruženih) vrijednosti." sqref="K40:L44 K11:L25 K47:L47 K50:L51 K36:L38 K29:L30 K32:L34">
      <formula1>0</formula1>
    </dataValidation>
    <dataValidation type="whole" operator="notEqual" allowBlank="1" showInputMessage="1" showErrorMessage="1" errorTitle="Neispravan unos" error="Dozvoljen je unos samo cjelobrojnih vrijednosti. Vrijednosti mogu biti i pozitivne i negativne." sqref="K48:L49 K52:L53 K58:L58">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5511811023622047" bottom="0.7086614173228347" header="0.3937007874015748" footer="0.5905511811023623"/>
  <pageSetup fitToHeight="1" fitToWidth="1" horizontalDpi="600" verticalDpi="600" orientation="portrait"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R37"/>
  <sheetViews>
    <sheetView showGridLines="0" showRowColHeaders="0" zoomScalePageLayoutView="0" workbookViewId="0" topLeftCell="A1">
      <pane ySplit="8" topLeftCell="A9" activePane="bottomLeft" state="frozen"/>
      <selection pane="topLeft" activeCell="A1" sqref="A1"/>
      <selection pane="bottomLeft" activeCell="A3" sqref="A3:K3"/>
    </sheetView>
  </sheetViews>
  <sheetFormatPr defaultColWidth="0" defaultRowHeight="12.75" zeroHeight="1"/>
  <cols>
    <col min="1" max="10" width="7.7109375" style="0" customWidth="1"/>
    <col min="11" max="12" width="14.7109375" style="0" customWidth="1"/>
    <col min="13" max="13" width="0.85546875" style="0" customWidth="1"/>
    <col min="14" max="14" width="9.140625" style="0" hidden="1" customWidth="1"/>
    <col min="15" max="15" width="5.7109375" style="0" hidden="1" customWidth="1"/>
    <col min="16" max="17" width="5.7109375" style="7" hidden="1" customWidth="1"/>
    <col min="18" max="18" width="5.7109375" style="0" hidden="1" customWidth="1"/>
    <col min="19" max="16384" width="9.140625" style="0" hidden="1" customWidth="1"/>
  </cols>
  <sheetData>
    <row r="1" spans="1:18" ht="19.5" customHeight="1">
      <c r="A1" s="320" t="s">
        <v>1801</v>
      </c>
      <c r="B1" s="321"/>
      <c r="C1" s="88" t="s">
        <v>396</v>
      </c>
      <c r="D1" s="85" t="s">
        <v>1802</v>
      </c>
      <c r="E1" s="85" t="s">
        <v>305</v>
      </c>
      <c r="F1" s="106" t="s">
        <v>1792</v>
      </c>
      <c r="G1" s="85" t="s">
        <v>397</v>
      </c>
      <c r="H1" s="106" t="s">
        <v>398</v>
      </c>
      <c r="I1" s="85" t="s">
        <v>306</v>
      </c>
      <c r="J1" s="86" t="s">
        <v>399</v>
      </c>
      <c r="K1" s="48"/>
      <c r="L1" s="3"/>
      <c r="M1" s="3"/>
      <c r="O1" s="26">
        <f>IF(SUM(K9:L37)&lt;&gt;0,1,0)</f>
        <v>1</v>
      </c>
      <c r="P1" s="26">
        <f>IF(SUM(K9:K37)&lt;&gt;0,1,0)</f>
        <v>1</v>
      </c>
      <c r="Q1" s="26">
        <f>IF(SUM(K9:K33)&lt;&gt;0,1,0)</f>
        <v>1</v>
      </c>
      <c r="R1" s="26">
        <f>IF(SUM(L9:L33)&lt;&gt;0,1,0)</f>
        <v>1</v>
      </c>
    </row>
    <row r="2" spans="1:18" s="3" customFormat="1" ht="19.5" customHeight="1" thickBot="1">
      <c r="A2" s="322"/>
      <c r="B2" s="323"/>
      <c r="C2" s="89" t="s">
        <v>1803</v>
      </c>
      <c r="D2" s="90" t="s">
        <v>308</v>
      </c>
      <c r="E2" s="90" t="s">
        <v>1804</v>
      </c>
      <c r="F2" s="90" t="s">
        <v>307</v>
      </c>
      <c r="G2" s="90" t="s">
        <v>401</v>
      </c>
      <c r="H2" s="91" t="s">
        <v>402</v>
      </c>
      <c r="I2" s="87"/>
      <c r="J2" s="87"/>
      <c r="K2" s="19"/>
      <c r="L2"/>
      <c r="M2"/>
      <c r="P2" s="26">
        <f>IF(SUM(L9:L37)&lt;&gt;0,1,0)</f>
        <v>1</v>
      </c>
      <c r="Q2" s="3">
        <f>IF(SUM(K35:K37)&lt;&gt;0,1,0)</f>
        <v>0</v>
      </c>
      <c r="R2" s="3">
        <f>IF(SUM(L35:L37)&lt;&gt;0,1,0)</f>
        <v>0</v>
      </c>
    </row>
    <row r="3" spans="1:12" s="3" customFormat="1" ht="19.5" customHeight="1">
      <c r="A3" s="497" t="s">
        <v>947</v>
      </c>
      <c r="B3" s="543"/>
      <c r="C3" s="543"/>
      <c r="D3" s="543"/>
      <c r="E3" s="543"/>
      <c r="F3" s="543"/>
      <c r="G3" s="543"/>
      <c r="H3" s="543"/>
      <c r="I3" s="543"/>
      <c r="J3" s="543"/>
      <c r="K3" s="544"/>
      <c r="L3" s="495" t="s">
        <v>1626</v>
      </c>
    </row>
    <row r="4" spans="1:12" s="3" customFormat="1" ht="19.5" customHeight="1" thickBot="1">
      <c r="A4" s="500" t="str">
        <f>"za razdoblje "&amp;IF(Opci!E5&lt;&gt;"",TEXT(Opci!E5,"DD.MM.YYYY."),"__.__.____.")&amp;" do "&amp;IF(Opci!H5&lt;&gt;"",TEXT(Opci!H5,"DD.MM.YYYY."),"__.__.____.")</f>
        <v>za razdoblje 01.01.2013. do 31.12.2013.</v>
      </c>
      <c r="B4" s="545"/>
      <c r="C4" s="545"/>
      <c r="D4" s="545"/>
      <c r="E4" s="545"/>
      <c r="F4" s="545"/>
      <c r="G4" s="545"/>
      <c r="H4" s="545"/>
      <c r="I4" s="545"/>
      <c r="J4" s="545"/>
      <c r="K4" s="546"/>
      <c r="L4" s="496"/>
    </row>
    <row r="5" spans="1:12" s="3" customFormat="1" ht="4.5" customHeight="1">
      <c r="A5" s="47"/>
      <c r="B5" s="49"/>
      <c r="C5" s="49"/>
      <c r="D5" s="49"/>
      <c r="E5" s="49"/>
      <c r="F5" s="49"/>
      <c r="G5" s="49"/>
      <c r="H5" s="49"/>
      <c r="I5" s="49"/>
      <c r="J5" s="49"/>
      <c r="K5" s="49"/>
      <c r="L5" s="50"/>
    </row>
    <row r="6" spans="1:12" s="3" customFormat="1" ht="19.5" customHeight="1">
      <c r="A6" s="547" t="str">
        <f>"Obveznik: "&amp;IF(Opci!C23&lt;&gt;"",Opci!C23,"________")&amp;"; "&amp;IF(Opci!C25&lt;&gt;"",Opci!C25,"_____________________________________________________________"&amp;"; "&amp;IF(Opci!F27&lt;&gt;"",Opci!F27,"_______________"))</f>
        <v>Obveznik: 32247795989; CROATIA BANKA d.d.</v>
      </c>
      <c r="B6" s="548"/>
      <c r="C6" s="548"/>
      <c r="D6" s="548"/>
      <c r="E6" s="548"/>
      <c r="F6" s="548"/>
      <c r="G6" s="548"/>
      <c r="H6" s="548"/>
      <c r="I6" s="548"/>
      <c r="J6" s="548"/>
      <c r="K6" s="548"/>
      <c r="L6" s="549"/>
    </row>
    <row r="7" spans="1:12" s="3" customFormat="1" ht="24.75" customHeight="1" thickBot="1">
      <c r="A7" s="550" t="s">
        <v>2059</v>
      </c>
      <c r="B7" s="550"/>
      <c r="C7" s="550"/>
      <c r="D7" s="550"/>
      <c r="E7" s="550"/>
      <c r="F7" s="550"/>
      <c r="G7" s="550"/>
      <c r="H7" s="550"/>
      <c r="I7" s="99" t="s">
        <v>405</v>
      </c>
      <c r="J7" s="99" t="s">
        <v>406</v>
      </c>
      <c r="K7" s="100" t="s">
        <v>272</v>
      </c>
      <c r="L7" s="100" t="s">
        <v>273</v>
      </c>
    </row>
    <row r="8" spans="1:12" s="3" customFormat="1" ht="13.5" customHeight="1">
      <c r="A8" s="506">
        <v>1</v>
      </c>
      <c r="B8" s="506"/>
      <c r="C8" s="506"/>
      <c r="D8" s="506"/>
      <c r="E8" s="506"/>
      <c r="F8" s="506"/>
      <c r="G8" s="506"/>
      <c r="H8" s="506"/>
      <c r="I8" s="102">
        <v>2</v>
      </c>
      <c r="J8" s="102">
        <v>3</v>
      </c>
      <c r="K8" s="101">
        <v>4</v>
      </c>
      <c r="L8" s="101">
        <v>5</v>
      </c>
    </row>
    <row r="9" spans="1:12" s="3" customFormat="1" ht="13.5" customHeight="1">
      <c r="A9" s="534" t="s">
        <v>2171</v>
      </c>
      <c r="B9" s="535"/>
      <c r="C9" s="535"/>
      <c r="D9" s="535"/>
      <c r="E9" s="535"/>
      <c r="F9" s="535"/>
      <c r="G9" s="535"/>
      <c r="H9" s="536"/>
      <c r="I9" s="6">
        <v>48</v>
      </c>
      <c r="J9" s="248"/>
      <c r="K9" s="255">
        <v>91491429</v>
      </c>
      <c r="L9" s="255">
        <v>112969697</v>
      </c>
    </row>
    <row r="10" spans="1:12" s="3" customFormat="1" ht="13.5" customHeight="1">
      <c r="A10" s="489" t="s">
        <v>2172</v>
      </c>
      <c r="B10" s="490"/>
      <c r="C10" s="490"/>
      <c r="D10" s="490"/>
      <c r="E10" s="490"/>
      <c r="F10" s="490"/>
      <c r="G10" s="490"/>
      <c r="H10" s="491"/>
      <c r="I10" s="4">
        <v>49</v>
      </c>
      <c r="J10" s="249"/>
      <c r="K10" s="255">
        <v>52510069</v>
      </c>
      <c r="L10" s="255">
        <v>69264924</v>
      </c>
    </row>
    <row r="11" spans="1:12" s="3" customFormat="1" ht="13.5" customHeight="1">
      <c r="A11" s="492" t="s">
        <v>1168</v>
      </c>
      <c r="B11" s="493"/>
      <c r="C11" s="493"/>
      <c r="D11" s="493"/>
      <c r="E11" s="493"/>
      <c r="F11" s="493"/>
      <c r="G11" s="493"/>
      <c r="H11" s="494"/>
      <c r="I11" s="4">
        <v>50</v>
      </c>
      <c r="J11" s="249"/>
      <c r="K11" s="256">
        <f>K9-K10</f>
        <v>38981360</v>
      </c>
      <c r="L11" s="256">
        <f>L9-L10</f>
        <v>43704773</v>
      </c>
    </row>
    <row r="12" spans="1:12" s="3" customFormat="1" ht="13.5" customHeight="1">
      <c r="A12" s="489" t="s">
        <v>2173</v>
      </c>
      <c r="B12" s="490"/>
      <c r="C12" s="490"/>
      <c r="D12" s="490"/>
      <c r="E12" s="490"/>
      <c r="F12" s="490"/>
      <c r="G12" s="490"/>
      <c r="H12" s="491"/>
      <c r="I12" s="4">
        <v>51</v>
      </c>
      <c r="J12" s="249"/>
      <c r="K12" s="255">
        <v>10146277</v>
      </c>
      <c r="L12" s="255">
        <v>9802625</v>
      </c>
    </row>
    <row r="13" spans="1:12" s="3" customFormat="1" ht="13.5" customHeight="1">
      <c r="A13" s="489" t="s">
        <v>2174</v>
      </c>
      <c r="B13" s="490"/>
      <c r="C13" s="490"/>
      <c r="D13" s="490"/>
      <c r="E13" s="490"/>
      <c r="F13" s="490"/>
      <c r="G13" s="490"/>
      <c r="H13" s="491"/>
      <c r="I13" s="4">
        <v>52</v>
      </c>
      <c r="J13" s="249"/>
      <c r="K13" s="255">
        <v>4651940</v>
      </c>
      <c r="L13" s="255">
        <v>4980781</v>
      </c>
    </row>
    <row r="14" spans="1:12" s="3" customFormat="1" ht="13.5" customHeight="1">
      <c r="A14" s="492" t="s">
        <v>1167</v>
      </c>
      <c r="B14" s="493"/>
      <c r="C14" s="493"/>
      <c r="D14" s="493"/>
      <c r="E14" s="493"/>
      <c r="F14" s="493"/>
      <c r="G14" s="493"/>
      <c r="H14" s="494"/>
      <c r="I14" s="4">
        <v>53</v>
      </c>
      <c r="J14" s="249"/>
      <c r="K14" s="256">
        <f>K12-K13</f>
        <v>5494337</v>
      </c>
      <c r="L14" s="256">
        <f>L12-L13</f>
        <v>4821844</v>
      </c>
    </row>
    <row r="15" spans="1:12" s="3" customFormat="1" ht="24.75" customHeight="1">
      <c r="A15" s="489" t="s">
        <v>1632</v>
      </c>
      <c r="B15" s="490"/>
      <c r="C15" s="490"/>
      <c r="D15" s="490"/>
      <c r="E15" s="490"/>
      <c r="F15" s="490"/>
      <c r="G15" s="490"/>
      <c r="H15" s="491"/>
      <c r="I15" s="4">
        <v>54</v>
      </c>
      <c r="J15" s="249"/>
      <c r="K15" s="255">
        <v>0</v>
      </c>
      <c r="L15" s="255">
        <v>0</v>
      </c>
    </row>
    <row r="16" spans="1:12" s="3" customFormat="1" ht="13.5" customHeight="1">
      <c r="A16" s="489" t="s">
        <v>2175</v>
      </c>
      <c r="B16" s="490"/>
      <c r="C16" s="490"/>
      <c r="D16" s="490"/>
      <c r="E16" s="490"/>
      <c r="F16" s="490"/>
      <c r="G16" s="490"/>
      <c r="H16" s="491"/>
      <c r="I16" s="4">
        <v>55</v>
      </c>
      <c r="J16" s="249"/>
      <c r="K16" s="255">
        <v>4585503</v>
      </c>
      <c r="L16" s="255">
        <v>2729937</v>
      </c>
    </row>
    <row r="17" spans="1:12" s="3" customFormat="1" ht="13.5" customHeight="1">
      <c r="A17" s="489" t="s">
        <v>2176</v>
      </c>
      <c r="B17" s="490"/>
      <c r="C17" s="490"/>
      <c r="D17" s="490"/>
      <c r="E17" s="490"/>
      <c r="F17" s="490"/>
      <c r="G17" s="490"/>
      <c r="H17" s="491"/>
      <c r="I17" s="4">
        <v>56</v>
      </c>
      <c r="J17" s="249"/>
      <c r="K17" s="255">
        <v>-4781</v>
      </c>
      <c r="L17" s="255">
        <v>7192</v>
      </c>
    </row>
    <row r="18" spans="1:12" s="3" customFormat="1" ht="24.75" customHeight="1">
      <c r="A18" s="489" t="s">
        <v>2177</v>
      </c>
      <c r="B18" s="490"/>
      <c r="C18" s="490"/>
      <c r="D18" s="490"/>
      <c r="E18" s="490"/>
      <c r="F18" s="490"/>
      <c r="G18" s="490"/>
      <c r="H18" s="491"/>
      <c r="I18" s="4">
        <v>57</v>
      </c>
      <c r="J18" s="249"/>
      <c r="K18" s="255">
        <v>0</v>
      </c>
      <c r="L18" s="255">
        <v>0</v>
      </c>
    </row>
    <row r="19" spans="1:12" s="3" customFormat="1" ht="13.5" customHeight="1">
      <c r="A19" s="489" t="s">
        <v>2178</v>
      </c>
      <c r="B19" s="490"/>
      <c r="C19" s="490"/>
      <c r="D19" s="490"/>
      <c r="E19" s="490"/>
      <c r="F19" s="490"/>
      <c r="G19" s="490"/>
      <c r="H19" s="491"/>
      <c r="I19" s="4">
        <v>58</v>
      </c>
      <c r="J19" s="249"/>
      <c r="K19" s="255">
        <v>-1381800</v>
      </c>
      <c r="L19" s="255">
        <v>1192354</v>
      </c>
    </row>
    <row r="20" spans="1:12" s="3" customFormat="1" ht="13.5" customHeight="1">
      <c r="A20" s="489" t="s">
        <v>2179</v>
      </c>
      <c r="B20" s="490"/>
      <c r="C20" s="490"/>
      <c r="D20" s="490"/>
      <c r="E20" s="490"/>
      <c r="F20" s="490"/>
      <c r="G20" s="490"/>
      <c r="H20" s="491"/>
      <c r="I20" s="4">
        <v>59</v>
      </c>
      <c r="J20" s="249"/>
      <c r="K20" s="255">
        <v>0</v>
      </c>
      <c r="L20" s="255">
        <v>0</v>
      </c>
    </row>
    <row r="21" spans="1:12" s="3" customFormat="1" ht="13.5" customHeight="1">
      <c r="A21" s="489" t="s">
        <v>2180</v>
      </c>
      <c r="B21" s="490"/>
      <c r="C21" s="490"/>
      <c r="D21" s="490"/>
      <c r="E21" s="490"/>
      <c r="F21" s="490"/>
      <c r="G21" s="490"/>
      <c r="H21" s="491"/>
      <c r="I21" s="4">
        <v>60</v>
      </c>
      <c r="J21" s="249"/>
      <c r="K21" s="255">
        <v>0</v>
      </c>
      <c r="L21" s="255">
        <v>0</v>
      </c>
    </row>
    <row r="22" spans="1:12" s="3" customFormat="1" ht="13.5" customHeight="1">
      <c r="A22" s="489" t="s">
        <v>2181</v>
      </c>
      <c r="B22" s="490"/>
      <c r="C22" s="490"/>
      <c r="D22" s="490"/>
      <c r="E22" s="490"/>
      <c r="F22" s="490"/>
      <c r="G22" s="490"/>
      <c r="H22" s="491"/>
      <c r="I22" s="4">
        <v>61</v>
      </c>
      <c r="J22" s="249"/>
      <c r="K22" s="255">
        <v>0</v>
      </c>
      <c r="L22" s="255">
        <v>0</v>
      </c>
    </row>
    <row r="23" spans="1:12" s="3" customFormat="1" ht="13.5" customHeight="1">
      <c r="A23" s="489" t="s">
        <v>2182</v>
      </c>
      <c r="B23" s="490"/>
      <c r="C23" s="490"/>
      <c r="D23" s="490"/>
      <c r="E23" s="490"/>
      <c r="F23" s="490"/>
      <c r="G23" s="490"/>
      <c r="H23" s="491"/>
      <c r="I23" s="4">
        <v>62</v>
      </c>
      <c r="J23" s="249"/>
      <c r="K23" s="255">
        <v>90894</v>
      </c>
      <c r="L23" s="255">
        <v>0</v>
      </c>
    </row>
    <row r="24" spans="1:12" s="3" customFormat="1" ht="13.5" customHeight="1">
      <c r="A24" s="489" t="s">
        <v>2183</v>
      </c>
      <c r="B24" s="490"/>
      <c r="C24" s="490"/>
      <c r="D24" s="490"/>
      <c r="E24" s="490"/>
      <c r="F24" s="490"/>
      <c r="G24" s="490"/>
      <c r="H24" s="491"/>
      <c r="I24" s="4">
        <v>63</v>
      </c>
      <c r="J24" s="249"/>
      <c r="K24" s="255">
        <v>-155306</v>
      </c>
      <c r="L24" s="255">
        <v>693901</v>
      </c>
    </row>
    <row r="25" spans="1:12" s="3" customFormat="1" ht="13.5" customHeight="1">
      <c r="A25" s="489" t="s">
        <v>1619</v>
      </c>
      <c r="B25" s="490"/>
      <c r="C25" s="490"/>
      <c r="D25" s="490"/>
      <c r="E25" s="490"/>
      <c r="F25" s="490"/>
      <c r="G25" s="490"/>
      <c r="H25" s="491"/>
      <c r="I25" s="4">
        <v>64</v>
      </c>
      <c r="J25" s="249"/>
      <c r="K25" s="255">
        <v>7220558</v>
      </c>
      <c r="L25" s="255">
        <v>14824835</v>
      </c>
    </row>
    <row r="26" spans="1:12" s="3" customFormat="1" ht="13.5" customHeight="1">
      <c r="A26" s="489" t="s">
        <v>1620</v>
      </c>
      <c r="B26" s="490"/>
      <c r="C26" s="490"/>
      <c r="D26" s="490"/>
      <c r="E26" s="490"/>
      <c r="F26" s="490"/>
      <c r="G26" s="490"/>
      <c r="H26" s="491"/>
      <c r="I26" s="4">
        <v>65</v>
      </c>
      <c r="J26" s="249"/>
      <c r="K26" s="255">
        <v>6226198</v>
      </c>
      <c r="L26" s="255">
        <v>8150996</v>
      </c>
    </row>
    <row r="27" spans="1:12" s="3" customFormat="1" ht="13.5" customHeight="1">
      <c r="A27" s="489" t="s">
        <v>1621</v>
      </c>
      <c r="B27" s="490"/>
      <c r="C27" s="490"/>
      <c r="D27" s="490"/>
      <c r="E27" s="490"/>
      <c r="F27" s="490"/>
      <c r="G27" s="490"/>
      <c r="H27" s="491"/>
      <c r="I27" s="4">
        <v>66</v>
      </c>
      <c r="J27" s="249"/>
      <c r="K27" s="255">
        <v>67397067</v>
      </c>
      <c r="L27" s="255">
        <v>71083082</v>
      </c>
    </row>
    <row r="28" spans="1:12" s="3" customFormat="1" ht="24.75" customHeight="1">
      <c r="A28" s="492" t="s">
        <v>1166</v>
      </c>
      <c r="B28" s="493"/>
      <c r="C28" s="493"/>
      <c r="D28" s="493"/>
      <c r="E28" s="493"/>
      <c r="F28" s="493"/>
      <c r="G28" s="493"/>
      <c r="H28" s="494"/>
      <c r="I28" s="4">
        <v>67</v>
      </c>
      <c r="J28" s="249"/>
      <c r="K28" s="256">
        <f>K11+K14+SUM(K15:K25)-K26-K27</f>
        <v>-18792500</v>
      </c>
      <c r="L28" s="256">
        <f>L11+L14+SUM(L15:L25)-L26-L27</f>
        <v>-11259242</v>
      </c>
    </row>
    <row r="29" spans="1:12" s="3" customFormat="1" ht="13.5" customHeight="1">
      <c r="A29" s="489" t="s">
        <v>1622</v>
      </c>
      <c r="B29" s="490"/>
      <c r="C29" s="490"/>
      <c r="D29" s="490"/>
      <c r="E29" s="490"/>
      <c r="F29" s="490"/>
      <c r="G29" s="490"/>
      <c r="H29" s="491"/>
      <c r="I29" s="4">
        <v>68</v>
      </c>
      <c r="J29" s="249"/>
      <c r="K29" s="255">
        <v>107569824</v>
      </c>
      <c r="L29" s="255">
        <v>13385218</v>
      </c>
    </row>
    <row r="30" spans="1:12" s="3" customFormat="1" ht="13.5" customHeight="1">
      <c r="A30" s="492" t="s">
        <v>1630</v>
      </c>
      <c r="B30" s="493"/>
      <c r="C30" s="493"/>
      <c r="D30" s="493"/>
      <c r="E30" s="493"/>
      <c r="F30" s="493"/>
      <c r="G30" s="493"/>
      <c r="H30" s="494"/>
      <c r="I30" s="4">
        <v>69</v>
      </c>
      <c r="J30" s="249"/>
      <c r="K30" s="256">
        <f>K28-K29</f>
        <v>-126362324</v>
      </c>
      <c r="L30" s="256">
        <f>L28-L29</f>
        <v>-24644460</v>
      </c>
    </row>
    <row r="31" spans="1:12" s="3" customFormat="1" ht="13.5" customHeight="1">
      <c r="A31" s="492" t="s">
        <v>1623</v>
      </c>
      <c r="B31" s="493"/>
      <c r="C31" s="493"/>
      <c r="D31" s="493"/>
      <c r="E31" s="493"/>
      <c r="F31" s="493"/>
      <c r="G31" s="493"/>
      <c r="H31" s="494"/>
      <c r="I31" s="4">
        <v>70</v>
      </c>
      <c r="J31" s="249"/>
      <c r="K31" s="255">
        <v>-22761400</v>
      </c>
      <c r="L31" s="255">
        <v>0</v>
      </c>
    </row>
    <row r="32" spans="1:12" s="3" customFormat="1" ht="13.5" customHeight="1">
      <c r="A32" s="492" t="s">
        <v>1631</v>
      </c>
      <c r="B32" s="493"/>
      <c r="C32" s="493"/>
      <c r="D32" s="493"/>
      <c r="E32" s="493"/>
      <c r="F32" s="493"/>
      <c r="G32" s="493"/>
      <c r="H32" s="494"/>
      <c r="I32" s="4">
        <v>71</v>
      </c>
      <c r="J32" s="249"/>
      <c r="K32" s="256">
        <f>K30-K31</f>
        <v>-103600924</v>
      </c>
      <c r="L32" s="256">
        <f>L30-L31</f>
        <v>-24644460</v>
      </c>
    </row>
    <row r="33" spans="1:12" s="3" customFormat="1" ht="13.5" customHeight="1">
      <c r="A33" s="489" t="s">
        <v>1624</v>
      </c>
      <c r="B33" s="490"/>
      <c r="C33" s="490"/>
      <c r="D33" s="490"/>
      <c r="E33" s="490"/>
      <c r="F33" s="490"/>
      <c r="G33" s="490"/>
      <c r="H33" s="491"/>
      <c r="I33" s="4">
        <v>72</v>
      </c>
      <c r="J33" s="250"/>
      <c r="K33" s="257">
        <v>0</v>
      </c>
      <c r="L33" s="257">
        <v>0</v>
      </c>
    </row>
    <row r="34" spans="1:12" s="3" customFormat="1" ht="13.5" customHeight="1">
      <c r="A34" s="485" t="s">
        <v>1627</v>
      </c>
      <c r="B34" s="488"/>
      <c r="C34" s="488"/>
      <c r="D34" s="488"/>
      <c r="E34" s="488"/>
      <c r="F34" s="488"/>
      <c r="G34" s="488"/>
      <c r="H34" s="488"/>
      <c r="I34" s="486"/>
      <c r="J34" s="511"/>
      <c r="K34" s="486"/>
      <c r="L34" s="487"/>
    </row>
    <row r="35" spans="1:12" s="3" customFormat="1" ht="13.5" customHeight="1">
      <c r="A35" s="552" t="s">
        <v>1628</v>
      </c>
      <c r="B35" s="553"/>
      <c r="C35" s="553"/>
      <c r="D35" s="553"/>
      <c r="E35" s="553"/>
      <c r="F35" s="553"/>
      <c r="G35" s="553"/>
      <c r="H35" s="554"/>
      <c r="I35" s="173">
        <v>73</v>
      </c>
      <c r="J35" s="248"/>
      <c r="K35" s="256">
        <f>IF(Opci!C41="DA",RDG!K32,0)</f>
        <v>0</v>
      </c>
      <c r="L35" s="256">
        <f>IF(Opci!C41="DA",RDG!L32,0)</f>
        <v>0</v>
      </c>
    </row>
    <row r="36" spans="1:12" s="3" customFormat="1" ht="13.5" customHeight="1">
      <c r="A36" s="555" t="s">
        <v>1629</v>
      </c>
      <c r="B36" s="541"/>
      <c r="C36" s="541"/>
      <c r="D36" s="541"/>
      <c r="E36" s="541"/>
      <c r="F36" s="541"/>
      <c r="G36" s="541"/>
      <c r="H36" s="542"/>
      <c r="I36" s="173">
        <v>74</v>
      </c>
      <c r="J36" s="249"/>
      <c r="K36" s="255"/>
      <c r="L36" s="255"/>
    </row>
    <row r="37" spans="1:12" s="3" customFormat="1" ht="13.5" customHeight="1">
      <c r="A37" s="551" t="s">
        <v>1169</v>
      </c>
      <c r="B37" s="529"/>
      <c r="C37" s="529"/>
      <c r="D37" s="529"/>
      <c r="E37" s="529"/>
      <c r="F37" s="529"/>
      <c r="G37" s="529"/>
      <c r="H37" s="530"/>
      <c r="I37" s="10">
        <v>75</v>
      </c>
      <c r="J37" s="250"/>
      <c r="K37" s="258">
        <f>K35-K36</f>
        <v>0</v>
      </c>
      <c r="L37" s="258">
        <f>L35-L36</f>
        <v>0</v>
      </c>
    </row>
    <row r="38" ht="12.75"/>
    <row r="39" ht="4.5" customHeight="1"/>
    <row r="40" ht="12.75" hidden="1"/>
  </sheetData>
  <sheetProtection password="C79A" sheet="1" objects="1"/>
  <mergeCells count="36">
    <mergeCell ref="A32:H32"/>
    <mergeCell ref="A29:H29"/>
    <mergeCell ref="A37:H37"/>
    <mergeCell ref="A35:H35"/>
    <mergeCell ref="A36:H36"/>
    <mergeCell ref="A1:B2"/>
    <mergeCell ref="A30:H30"/>
    <mergeCell ref="A27:H27"/>
    <mergeCell ref="A28:H28"/>
    <mergeCell ref="A33:H33"/>
    <mergeCell ref="A31:H31"/>
    <mergeCell ref="A21:H21"/>
    <mergeCell ref="A22:H22"/>
    <mergeCell ref="A19:H19"/>
    <mergeCell ref="A20:H20"/>
    <mergeCell ref="A25:H25"/>
    <mergeCell ref="A26:H26"/>
    <mergeCell ref="A23:H23"/>
    <mergeCell ref="A24:H24"/>
    <mergeCell ref="A14:H14"/>
    <mergeCell ref="A11:H11"/>
    <mergeCell ref="A12:H12"/>
    <mergeCell ref="A17:H17"/>
    <mergeCell ref="A18:H18"/>
    <mergeCell ref="A15:H15"/>
    <mergeCell ref="A16:H16"/>
    <mergeCell ref="A34:L34"/>
    <mergeCell ref="A3:K3"/>
    <mergeCell ref="A4:K4"/>
    <mergeCell ref="L3:L4"/>
    <mergeCell ref="A8:H8"/>
    <mergeCell ref="A10:H10"/>
    <mergeCell ref="A9:H9"/>
    <mergeCell ref="A6:L6"/>
    <mergeCell ref="A7:H7"/>
    <mergeCell ref="A13:H13"/>
  </mergeCells>
  <dataValidations count="2">
    <dataValidation type="whole" operator="greaterThanOrEqual" allowBlank="1" showInputMessage="1" showErrorMessage="1" errorTitle="Pogrešan unos" error="Dozvoljen je unos samo pozitivnih cjelobrojnih (zaokruženih) vrijednosti." sqref="K33:L33 K22:L23 K25:L27 K9:L10 K12:L13">
      <formula1>0</formula1>
    </dataValidation>
    <dataValidation type="whole" operator="notEqual" allowBlank="1" showInputMessage="1" showErrorMessage="1" errorTitle="Nedozvoljen unos" error="Dozvoljen je upis samo cjelobrojnih (negativnih ili pozitivnih) vrijednosti." sqref="K15:L21 K24:L24 K31:L31 K29:L29 K36:L36">
      <formula1>9999999999</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P123"/>
  <sheetViews>
    <sheetView showGridLines="0" showRowColHeaders="0" zoomScalePageLayoutView="0" workbookViewId="0" topLeftCell="A1">
      <pane ySplit="8" topLeftCell="A9" activePane="bottomLeft" state="frozen"/>
      <selection pane="topLeft" activeCell="A1" sqref="A1"/>
      <selection pane="bottomLeft" activeCell="K105" sqref="K105:L122"/>
    </sheetView>
  </sheetViews>
  <sheetFormatPr defaultColWidth="0" defaultRowHeight="12.75" zeroHeight="1"/>
  <cols>
    <col min="1" max="10" width="7.7109375" style="0" customWidth="1"/>
    <col min="11" max="12" width="14.7109375" style="0" customWidth="1"/>
    <col min="13" max="13" width="0.85546875" style="0" customWidth="1"/>
    <col min="14" max="14" width="0" style="0" hidden="1" customWidth="1"/>
    <col min="15" max="16" width="5.7109375" style="0" hidden="1" customWidth="1"/>
    <col min="17" max="16384" width="0" style="0" hidden="1" customWidth="1"/>
  </cols>
  <sheetData>
    <row r="1" spans="1:16" ht="19.5" customHeight="1">
      <c r="A1" s="320" t="s">
        <v>1801</v>
      </c>
      <c r="B1" s="321"/>
      <c r="C1" s="88" t="s">
        <v>396</v>
      </c>
      <c r="D1" s="85" t="s">
        <v>1802</v>
      </c>
      <c r="E1" s="85" t="s">
        <v>305</v>
      </c>
      <c r="F1" s="106" t="s">
        <v>1792</v>
      </c>
      <c r="G1" s="85" t="s">
        <v>397</v>
      </c>
      <c r="H1" s="106" t="s">
        <v>398</v>
      </c>
      <c r="I1" s="85" t="s">
        <v>306</v>
      </c>
      <c r="J1" s="86" t="s">
        <v>399</v>
      </c>
      <c r="K1" s="3"/>
      <c r="L1" s="3"/>
      <c r="O1" s="179">
        <f>IF(SUM(K10:L123)&lt;&gt;0,1,0)</f>
        <v>0</v>
      </c>
      <c r="P1" s="179">
        <f>IF(SUM(K10:K123)&lt;&gt;0,1,0)</f>
        <v>0</v>
      </c>
    </row>
    <row r="2" spans="1:16" s="3" customFormat="1" ht="19.5" customHeight="1" thickBot="1">
      <c r="A2" s="322"/>
      <c r="B2" s="323"/>
      <c r="C2" s="89" t="s">
        <v>1803</v>
      </c>
      <c r="D2" s="90" t="s">
        <v>308</v>
      </c>
      <c r="E2" s="90" t="s">
        <v>1804</v>
      </c>
      <c r="F2" s="90" t="s">
        <v>307</v>
      </c>
      <c r="G2" s="90" t="s">
        <v>401</v>
      </c>
      <c r="H2" s="91" t="s">
        <v>402</v>
      </c>
      <c r="I2" s="87"/>
      <c r="J2" s="87"/>
      <c r="O2" s="2"/>
      <c r="P2" s="179">
        <f>IF(SUM(L10:L123)&lt;&gt;0,1,0)</f>
        <v>0</v>
      </c>
    </row>
    <row r="3" spans="1:12" s="3" customFormat="1" ht="19.5" customHeight="1">
      <c r="A3" s="579" t="s">
        <v>459</v>
      </c>
      <c r="B3" s="580"/>
      <c r="C3" s="580"/>
      <c r="D3" s="580"/>
      <c r="E3" s="580"/>
      <c r="F3" s="580"/>
      <c r="G3" s="580"/>
      <c r="H3" s="580"/>
      <c r="I3" s="580"/>
      <c r="J3" s="580"/>
      <c r="K3" s="581"/>
      <c r="L3" s="495" t="s">
        <v>948</v>
      </c>
    </row>
    <row r="4" spans="1:12" s="3" customFormat="1" ht="19.5" customHeight="1" thickBot="1">
      <c r="A4" s="582" t="str">
        <f>"za razdoblje "&amp;IF(Opci!E5&lt;&gt;"",TEXT(Opci!E5,"DD.MM.YYYY."),"__.__.____.")&amp;" do "&amp;IF(Opci!H5&lt;&gt;"",TEXT(Opci!H5,"DD.MM.YYYY."),"__.__.____.")</f>
        <v>za razdoblje 01.01.2013. do 31.12.2013.</v>
      </c>
      <c r="B4" s="583"/>
      <c r="C4" s="583"/>
      <c r="D4" s="583"/>
      <c r="E4" s="583"/>
      <c r="F4" s="583"/>
      <c r="G4" s="583"/>
      <c r="H4" s="583"/>
      <c r="I4" s="583"/>
      <c r="J4" s="583"/>
      <c r="K4" s="581"/>
      <c r="L4" s="586"/>
    </row>
    <row r="5" spans="1:12" s="3" customFormat="1" ht="4.5" customHeight="1">
      <c r="A5" s="41"/>
      <c r="B5" s="42"/>
      <c r="C5" s="42"/>
      <c r="D5" s="42"/>
      <c r="E5" s="42"/>
      <c r="F5" s="42"/>
      <c r="G5" s="42"/>
      <c r="H5" s="42"/>
      <c r="I5" s="42"/>
      <c r="J5" s="42"/>
      <c r="K5" s="40"/>
      <c r="L5" s="51"/>
    </row>
    <row r="6" spans="1:12" s="3" customFormat="1" ht="19.5" customHeight="1">
      <c r="A6" s="507" t="str">
        <f>"Obveznik: "&amp;IF(Opci!C23&lt;&gt;"",Opci!C23,"________")&amp;"; "&amp;IF(Opci!C25&lt;&gt;"",Opci!C25,"_____________________________________________________________"&amp;"; "&amp;IF(Opci!F27&lt;&gt;"",Opci!F27,"_______________"))</f>
        <v>Obveznik: 32247795989; CROATIA BANKA d.d.</v>
      </c>
      <c r="B6" s="508"/>
      <c r="C6" s="508"/>
      <c r="D6" s="508"/>
      <c r="E6" s="508"/>
      <c r="F6" s="508"/>
      <c r="G6" s="508"/>
      <c r="H6" s="508"/>
      <c r="I6" s="508"/>
      <c r="J6" s="508"/>
      <c r="K6" s="508"/>
      <c r="L6" s="509"/>
    </row>
    <row r="7" spans="1:12" s="3" customFormat="1" ht="24.75" customHeight="1" thickBot="1">
      <c r="A7" s="556" t="s">
        <v>2059</v>
      </c>
      <c r="B7" s="556"/>
      <c r="C7" s="556"/>
      <c r="D7" s="556"/>
      <c r="E7" s="556"/>
      <c r="F7" s="556"/>
      <c r="G7" s="556"/>
      <c r="H7" s="556"/>
      <c r="I7" s="557"/>
      <c r="J7" s="95" t="s">
        <v>405</v>
      </c>
      <c r="K7" s="96" t="s">
        <v>272</v>
      </c>
      <c r="L7" s="96" t="s">
        <v>273</v>
      </c>
    </row>
    <row r="8" spans="1:12" s="3" customFormat="1" ht="13.5" customHeight="1">
      <c r="A8" s="587">
        <v>1</v>
      </c>
      <c r="B8" s="587"/>
      <c r="C8" s="587"/>
      <c r="D8" s="587"/>
      <c r="E8" s="587"/>
      <c r="F8" s="587"/>
      <c r="G8" s="587"/>
      <c r="H8" s="587"/>
      <c r="I8" s="588"/>
      <c r="J8" s="98">
        <v>2</v>
      </c>
      <c r="K8" s="97">
        <v>3</v>
      </c>
      <c r="L8" s="97">
        <v>4</v>
      </c>
    </row>
    <row r="9" spans="1:12" s="3" customFormat="1" ht="13.5" customHeight="1">
      <c r="A9" s="485" t="s">
        <v>949</v>
      </c>
      <c r="B9" s="486"/>
      <c r="C9" s="486"/>
      <c r="D9" s="486"/>
      <c r="E9" s="486"/>
      <c r="F9" s="486"/>
      <c r="G9" s="486"/>
      <c r="H9" s="486"/>
      <c r="I9" s="486"/>
      <c r="J9" s="486"/>
      <c r="K9" s="584"/>
      <c r="L9" s="585"/>
    </row>
    <row r="10" spans="1:12" s="3" customFormat="1" ht="13.5" customHeight="1">
      <c r="A10" s="561" t="s">
        <v>950</v>
      </c>
      <c r="B10" s="562"/>
      <c r="C10" s="562"/>
      <c r="D10" s="562"/>
      <c r="E10" s="562"/>
      <c r="F10" s="562"/>
      <c r="G10" s="562"/>
      <c r="H10" s="562"/>
      <c r="I10" s="563"/>
      <c r="J10" s="174">
        <v>76</v>
      </c>
      <c r="K10" s="240">
        <v>0</v>
      </c>
      <c r="L10" s="240">
        <v>0</v>
      </c>
    </row>
    <row r="11" spans="1:12" s="3" customFormat="1" ht="13.5" customHeight="1">
      <c r="A11" s="558" t="s">
        <v>951</v>
      </c>
      <c r="B11" s="559"/>
      <c r="C11" s="559"/>
      <c r="D11" s="559"/>
      <c r="E11" s="559"/>
      <c r="F11" s="559"/>
      <c r="G11" s="559"/>
      <c r="H11" s="559"/>
      <c r="I11" s="560"/>
      <c r="J11" s="174">
        <v>77</v>
      </c>
      <c r="K11" s="241">
        <v>0</v>
      </c>
      <c r="L11" s="241">
        <v>0</v>
      </c>
    </row>
    <row r="12" spans="1:12" s="3" customFormat="1" ht="13.5" customHeight="1">
      <c r="A12" s="558" t="s">
        <v>952</v>
      </c>
      <c r="B12" s="559"/>
      <c r="C12" s="559"/>
      <c r="D12" s="559"/>
      <c r="E12" s="559"/>
      <c r="F12" s="559"/>
      <c r="G12" s="559"/>
      <c r="H12" s="559"/>
      <c r="I12" s="560"/>
      <c r="J12" s="174">
        <v>78</v>
      </c>
      <c r="K12" s="241">
        <v>0</v>
      </c>
      <c r="L12" s="241">
        <v>0</v>
      </c>
    </row>
    <row r="13" spans="1:12" s="3" customFormat="1" ht="13.5" customHeight="1">
      <c r="A13" s="558" t="s">
        <v>953</v>
      </c>
      <c r="B13" s="559"/>
      <c r="C13" s="559"/>
      <c r="D13" s="559"/>
      <c r="E13" s="559"/>
      <c r="F13" s="559"/>
      <c r="G13" s="559"/>
      <c r="H13" s="559"/>
      <c r="I13" s="560"/>
      <c r="J13" s="174">
        <v>79</v>
      </c>
      <c r="K13" s="241">
        <v>0</v>
      </c>
      <c r="L13" s="241">
        <v>0</v>
      </c>
    </row>
    <row r="14" spans="1:12" s="3" customFormat="1" ht="13.5" customHeight="1">
      <c r="A14" s="558" t="s">
        <v>954</v>
      </c>
      <c r="B14" s="559"/>
      <c r="C14" s="559"/>
      <c r="D14" s="559"/>
      <c r="E14" s="559"/>
      <c r="F14" s="559"/>
      <c r="G14" s="559"/>
      <c r="H14" s="559"/>
      <c r="I14" s="560"/>
      <c r="J14" s="174">
        <v>80</v>
      </c>
      <c r="K14" s="240">
        <v>0</v>
      </c>
      <c r="L14" s="240">
        <v>0</v>
      </c>
    </row>
    <row r="15" spans="1:12" s="3" customFormat="1" ht="13.5" customHeight="1">
      <c r="A15" s="558" t="s">
        <v>955</v>
      </c>
      <c r="B15" s="559"/>
      <c r="C15" s="559"/>
      <c r="D15" s="559"/>
      <c r="E15" s="559"/>
      <c r="F15" s="559"/>
      <c r="G15" s="559"/>
      <c r="H15" s="559"/>
      <c r="I15" s="560"/>
      <c r="J15" s="174">
        <v>81</v>
      </c>
      <c r="K15" s="241">
        <v>0</v>
      </c>
      <c r="L15" s="241">
        <v>0</v>
      </c>
    </row>
    <row r="16" spans="1:12" s="3" customFormat="1" ht="13.5" customHeight="1">
      <c r="A16" s="558" t="s">
        <v>956</v>
      </c>
      <c r="B16" s="559"/>
      <c r="C16" s="559"/>
      <c r="D16" s="559"/>
      <c r="E16" s="559"/>
      <c r="F16" s="559"/>
      <c r="G16" s="559"/>
      <c r="H16" s="559"/>
      <c r="I16" s="560"/>
      <c r="J16" s="174">
        <v>82</v>
      </c>
      <c r="K16" s="241">
        <v>0</v>
      </c>
      <c r="L16" s="241">
        <v>0</v>
      </c>
    </row>
    <row r="17" spans="1:12" s="3" customFormat="1" ht="13.5" customHeight="1">
      <c r="A17" s="558" t="s">
        <v>957</v>
      </c>
      <c r="B17" s="559"/>
      <c r="C17" s="559"/>
      <c r="D17" s="559"/>
      <c r="E17" s="559"/>
      <c r="F17" s="559"/>
      <c r="G17" s="559"/>
      <c r="H17" s="559"/>
      <c r="I17" s="560"/>
      <c r="J17" s="174">
        <v>83</v>
      </c>
      <c r="K17" s="241">
        <v>0</v>
      </c>
      <c r="L17" s="241">
        <v>0</v>
      </c>
    </row>
    <row r="18" spans="1:12" s="3" customFormat="1" ht="13.5" customHeight="1">
      <c r="A18" s="558" t="s">
        <v>958</v>
      </c>
      <c r="B18" s="559"/>
      <c r="C18" s="559"/>
      <c r="D18" s="559"/>
      <c r="E18" s="559"/>
      <c r="F18" s="559"/>
      <c r="G18" s="559"/>
      <c r="H18" s="559"/>
      <c r="I18" s="560"/>
      <c r="J18" s="174">
        <v>84</v>
      </c>
      <c r="K18" s="241">
        <v>0</v>
      </c>
      <c r="L18" s="241">
        <v>0</v>
      </c>
    </row>
    <row r="19" spans="1:12" s="3" customFormat="1" ht="13.5" customHeight="1">
      <c r="A19" s="558" t="s">
        <v>959</v>
      </c>
      <c r="B19" s="559"/>
      <c r="C19" s="559"/>
      <c r="D19" s="559"/>
      <c r="E19" s="559"/>
      <c r="F19" s="559"/>
      <c r="G19" s="559"/>
      <c r="H19" s="559"/>
      <c r="I19" s="560"/>
      <c r="J19" s="174">
        <v>85</v>
      </c>
      <c r="K19" s="241">
        <v>0</v>
      </c>
      <c r="L19" s="241">
        <v>0</v>
      </c>
    </row>
    <row r="20" spans="1:12" s="3" customFormat="1" ht="13.5" customHeight="1">
      <c r="A20" s="564" t="s">
        <v>960</v>
      </c>
      <c r="B20" s="559"/>
      <c r="C20" s="559"/>
      <c r="D20" s="559"/>
      <c r="E20" s="559"/>
      <c r="F20" s="559"/>
      <c r="G20" s="559"/>
      <c r="H20" s="559"/>
      <c r="I20" s="560"/>
      <c r="J20" s="174">
        <v>86</v>
      </c>
      <c r="K20" s="254">
        <f>K10+K12+K14+K16+K18</f>
        <v>0</v>
      </c>
      <c r="L20" s="254">
        <f>L10+L12+L14+L16+L18</f>
        <v>0</v>
      </c>
    </row>
    <row r="21" spans="1:12" s="3" customFormat="1" ht="13.5" customHeight="1">
      <c r="A21" s="567" t="s">
        <v>961</v>
      </c>
      <c r="B21" s="568"/>
      <c r="C21" s="568"/>
      <c r="D21" s="568"/>
      <c r="E21" s="568"/>
      <c r="F21" s="568"/>
      <c r="G21" s="568"/>
      <c r="H21" s="568"/>
      <c r="I21" s="569"/>
      <c r="J21" s="175">
        <v>87</v>
      </c>
      <c r="K21" s="252">
        <f>K11+K13+K15+K17+K19</f>
        <v>0</v>
      </c>
      <c r="L21" s="252">
        <f>L11+L13+L15+L17+L19</f>
        <v>0</v>
      </c>
    </row>
    <row r="22" spans="1:12" s="3" customFormat="1" ht="13.5" customHeight="1">
      <c r="A22" s="485" t="s">
        <v>962</v>
      </c>
      <c r="B22" s="486"/>
      <c r="C22" s="486"/>
      <c r="D22" s="486"/>
      <c r="E22" s="486"/>
      <c r="F22" s="486"/>
      <c r="G22" s="486"/>
      <c r="H22" s="486"/>
      <c r="I22" s="486"/>
      <c r="J22" s="486"/>
      <c r="K22" s="511"/>
      <c r="L22" s="512"/>
    </row>
    <row r="23" spans="1:12" s="3" customFormat="1" ht="13.5" customHeight="1">
      <c r="A23" s="561" t="s">
        <v>963</v>
      </c>
      <c r="B23" s="562"/>
      <c r="C23" s="562"/>
      <c r="D23" s="562"/>
      <c r="E23" s="562"/>
      <c r="F23" s="562"/>
      <c r="G23" s="562"/>
      <c r="H23" s="562"/>
      <c r="I23" s="563"/>
      <c r="J23" s="4">
        <v>88</v>
      </c>
      <c r="K23" s="240">
        <v>0</v>
      </c>
      <c r="L23" s="240">
        <v>0</v>
      </c>
    </row>
    <row r="24" spans="1:12" s="3" customFormat="1" ht="13.5" customHeight="1">
      <c r="A24" s="558" t="s">
        <v>964</v>
      </c>
      <c r="B24" s="559"/>
      <c r="C24" s="559"/>
      <c r="D24" s="559"/>
      <c r="E24" s="559"/>
      <c r="F24" s="559"/>
      <c r="G24" s="559"/>
      <c r="H24" s="559"/>
      <c r="I24" s="560"/>
      <c r="J24" s="4">
        <v>89</v>
      </c>
      <c r="K24" s="241">
        <v>0</v>
      </c>
      <c r="L24" s="241">
        <v>0</v>
      </c>
    </row>
    <row r="25" spans="1:12" s="3" customFormat="1" ht="13.5" customHeight="1">
      <c r="A25" s="558" t="s">
        <v>965</v>
      </c>
      <c r="B25" s="559"/>
      <c r="C25" s="559"/>
      <c r="D25" s="559"/>
      <c r="E25" s="559"/>
      <c r="F25" s="559"/>
      <c r="G25" s="559"/>
      <c r="H25" s="559"/>
      <c r="I25" s="560"/>
      <c r="J25" s="4">
        <v>90</v>
      </c>
      <c r="K25" s="241">
        <v>0</v>
      </c>
      <c r="L25" s="241">
        <v>0</v>
      </c>
    </row>
    <row r="26" spans="1:12" s="3" customFormat="1" ht="13.5" customHeight="1">
      <c r="A26" s="558" t="s">
        <v>966</v>
      </c>
      <c r="B26" s="559"/>
      <c r="C26" s="559"/>
      <c r="D26" s="559"/>
      <c r="E26" s="559"/>
      <c r="F26" s="559"/>
      <c r="G26" s="559"/>
      <c r="H26" s="559"/>
      <c r="I26" s="560"/>
      <c r="J26" s="4">
        <v>91</v>
      </c>
      <c r="K26" s="241">
        <v>0</v>
      </c>
      <c r="L26" s="241">
        <v>0</v>
      </c>
    </row>
    <row r="27" spans="1:12" s="3" customFormat="1" ht="13.5" customHeight="1">
      <c r="A27" s="558" t="s">
        <v>967</v>
      </c>
      <c r="B27" s="559"/>
      <c r="C27" s="559"/>
      <c r="D27" s="559"/>
      <c r="E27" s="559"/>
      <c r="F27" s="559"/>
      <c r="G27" s="559"/>
      <c r="H27" s="559"/>
      <c r="I27" s="560"/>
      <c r="J27" s="4">
        <v>92</v>
      </c>
      <c r="K27" s="241">
        <v>0</v>
      </c>
      <c r="L27" s="241">
        <v>0</v>
      </c>
    </row>
    <row r="28" spans="1:12" s="3" customFormat="1" ht="13.5" customHeight="1">
      <c r="A28" s="558" t="s">
        <v>968</v>
      </c>
      <c r="B28" s="559"/>
      <c r="C28" s="559"/>
      <c r="D28" s="559"/>
      <c r="E28" s="559"/>
      <c r="F28" s="559"/>
      <c r="G28" s="559"/>
      <c r="H28" s="559"/>
      <c r="I28" s="560"/>
      <c r="J28" s="4">
        <v>93</v>
      </c>
      <c r="K28" s="241">
        <v>0</v>
      </c>
      <c r="L28" s="241">
        <v>0</v>
      </c>
    </row>
    <row r="29" spans="1:12" s="3" customFormat="1" ht="13.5" customHeight="1">
      <c r="A29" s="558" t="s">
        <v>969</v>
      </c>
      <c r="B29" s="559"/>
      <c r="C29" s="559"/>
      <c r="D29" s="559"/>
      <c r="E29" s="559"/>
      <c r="F29" s="559"/>
      <c r="G29" s="559"/>
      <c r="H29" s="559"/>
      <c r="I29" s="560"/>
      <c r="J29" s="4">
        <v>94</v>
      </c>
      <c r="K29" s="241">
        <v>0</v>
      </c>
      <c r="L29" s="241">
        <v>0</v>
      </c>
    </row>
    <row r="30" spans="1:12" s="3" customFormat="1" ht="13.5" customHeight="1">
      <c r="A30" s="558" t="s">
        <v>970</v>
      </c>
      <c r="B30" s="559"/>
      <c r="C30" s="559"/>
      <c r="D30" s="559"/>
      <c r="E30" s="559"/>
      <c r="F30" s="559"/>
      <c r="G30" s="559"/>
      <c r="H30" s="559"/>
      <c r="I30" s="560"/>
      <c r="J30" s="4">
        <v>95</v>
      </c>
      <c r="K30" s="241">
        <v>0</v>
      </c>
      <c r="L30" s="241">
        <v>0</v>
      </c>
    </row>
    <row r="31" spans="1:12" s="3" customFormat="1" ht="13.5" customHeight="1">
      <c r="A31" s="558" t="s">
        <v>1556</v>
      </c>
      <c r="B31" s="559"/>
      <c r="C31" s="559"/>
      <c r="D31" s="559"/>
      <c r="E31" s="559"/>
      <c r="F31" s="559"/>
      <c r="G31" s="559"/>
      <c r="H31" s="559"/>
      <c r="I31" s="560"/>
      <c r="J31" s="4">
        <v>96</v>
      </c>
      <c r="K31" s="241">
        <v>0</v>
      </c>
      <c r="L31" s="241">
        <v>0</v>
      </c>
    </row>
    <row r="32" spans="1:12" s="3" customFormat="1" ht="13.5" customHeight="1">
      <c r="A32" s="558" t="s">
        <v>1557</v>
      </c>
      <c r="B32" s="559"/>
      <c r="C32" s="559"/>
      <c r="D32" s="559"/>
      <c r="E32" s="559"/>
      <c r="F32" s="559"/>
      <c r="G32" s="559"/>
      <c r="H32" s="559"/>
      <c r="I32" s="560"/>
      <c r="J32" s="4">
        <v>97</v>
      </c>
      <c r="K32" s="241">
        <v>0</v>
      </c>
      <c r="L32" s="241">
        <v>0</v>
      </c>
    </row>
    <row r="33" spans="1:12" s="3" customFormat="1" ht="13.5" customHeight="1">
      <c r="A33" s="558" t="s">
        <v>1558</v>
      </c>
      <c r="B33" s="559"/>
      <c r="C33" s="559"/>
      <c r="D33" s="559"/>
      <c r="E33" s="559"/>
      <c r="F33" s="559"/>
      <c r="G33" s="559"/>
      <c r="H33" s="559"/>
      <c r="I33" s="560"/>
      <c r="J33" s="4">
        <v>98</v>
      </c>
      <c r="K33" s="241">
        <v>0</v>
      </c>
      <c r="L33" s="241">
        <v>0</v>
      </c>
    </row>
    <row r="34" spans="1:12" s="3" customFormat="1" ht="13.5" customHeight="1">
      <c r="A34" s="558" t="s">
        <v>97</v>
      </c>
      <c r="B34" s="559"/>
      <c r="C34" s="559"/>
      <c r="D34" s="559"/>
      <c r="E34" s="559"/>
      <c r="F34" s="559"/>
      <c r="G34" s="559"/>
      <c r="H34" s="559"/>
      <c r="I34" s="560"/>
      <c r="J34" s="4">
        <v>99</v>
      </c>
      <c r="K34" s="241">
        <v>0</v>
      </c>
      <c r="L34" s="241">
        <v>0</v>
      </c>
    </row>
    <row r="35" spans="1:12" s="3" customFormat="1" ht="13.5" customHeight="1">
      <c r="A35" s="558" t="s">
        <v>1584</v>
      </c>
      <c r="B35" s="559"/>
      <c r="C35" s="559"/>
      <c r="D35" s="559"/>
      <c r="E35" s="559"/>
      <c r="F35" s="559"/>
      <c r="G35" s="559"/>
      <c r="H35" s="559"/>
      <c r="I35" s="560"/>
      <c r="J35" s="4">
        <v>100</v>
      </c>
      <c r="K35" s="241">
        <v>0</v>
      </c>
      <c r="L35" s="241">
        <v>0</v>
      </c>
    </row>
    <row r="36" spans="1:12" s="3" customFormat="1" ht="13.5" customHeight="1">
      <c r="A36" s="558" t="s">
        <v>1585</v>
      </c>
      <c r="B36" s="559"/>
      <c r="C36" s="559"/>
      <c r="D36" s="559"/>
      <c r="E36" s="559"/>
      <c r="F36" s="559"/>
      <c r="G36" s="559"/>
      <c r="H36" s="559"/>
      <c r="I36" s="560"/>
      <c r="J36" s="4">
        <v>101</v>
      </c>
      <c r="K36" s="241">
        <v>0</v>
      </c>
      <c r="L36" s="241">
        <v>0</v>
      </c>
    </row>
    <row r="37" spans="1:12" s="3" customFormat="1" ht="13.5" customHeight="1">
      <c r="A37" s="558" t="s">
        <v>1586</v>
      </c>
      <c r="B37" s="559"/>
      <c r="C37" s="559"/>
      <c r="D37" s="559"/>
      <c r="E37" s="559"/>
      <c r="F37" s="559"/>
      <c r="G37" s="559"/>
      <c r="H37" s="559"/>
      <c r="I37" s="560"/>
      <c r="J37" s="4">
        <v>102</v>
      </c>
      <c r="K37" s="241">
        <v>0</v>
      </c>
      <c r="L37" s="241">
        <v>0</v>
      </c>
    </row>
    <row r="38" spans="1:12" s="3" customFormat="1" ht="13.5" customHeight="1">
      <c r="A38" s="558" t="s">
        <v>1587</v>
      </c>
      <c r="B38" s="559"/>
      <c r="C38" s="559"/>
      <c r="D38" s="559"/>
      <c r="E38" s="559"/>
      <c r="F38" s="559"/>
      <c r="G38" s="559"/>
      <c r="H38" s="559"/>
      <c r="I38" s="560"/>
      <c r="J38" s="4">
        <v>103</v>
      </c>
      <c r="K38" s="241">
        <v>0</v>
      </c>
      <c r="L38" s="241">
        <v>0</v>
      </c>
    </row>
    <row r="39" spans="1:12" s="3" customFormat="1" ht="13.5" customHeight="1">
      <c r="A39" s="558" t="s">
        <v>1588</v>
      </c>
      <c r="B39" s="559"/>
      <c r="C39" s="559"/>
      <c r="D39" s="559"/>
      <c r="E39" s="559"/>
      <c r="F39" s="559"/>
      <c r="G39" s="559"/>
      <c r="H39" s="559"/>
      <c r="I39" s="560"/>
      <c r="J39" s="4">
        <v>104</v>
      </c>
      <c r="K39" s="241">
        <v>0</v>
      </c>
      <c r="L39" s="241">
        <v>0</v>
      </c>
    </row>
    <row r="40" spans="1:12" s="3" customFormat="1" ht="13.5" customHeight="1">
      <c r="A40" s="558" t="s">
        <v>1589</v>
      </c>
      <c r="B40" s="559"/>
      <c r="C40" s="559"/>
      <c r="D40" s="559"/>
      <c r="E40" s="559"/>
      <c r="F40" s="559"/>
      <c r="G40" s="559"/>
      <c r="H40" s="559"/>
      <c r="I40" s="560"/>
      <c r="J40" s="4">
        <v>105</v>
      </c>
      <c r="K40" s="241">
        <v>0</v>
      </c>
      <c r="L40" s="241">
        <v>0</v>
      </c>
    </row>
    <row r="41" spans="1:12" s="3" customFormat="1" ht="13.5" customHeight="1">
      <c r="A41" s="564" t="s">
        <v>1590</v>
      </c>
      <c r="B41" s="559"/>
      <c r="C41" s="559"/>
      <c r="D41" s="559"/>
      <c r="E41" s="559"/>
      <c r="F41" s="559"/>
      <c r="G41" s="559"/>
      <c r="H41" s="559"/>
      <c r="I41" s="560"/>
      <c r="J41" s="4">
        <v>106</v>
      </c>
      <c r="K41" s="254">
        <f>K23+K25+K27+K31+K35+K37+K39</f>
        <v>0</v>
      </c>
      <c r="L41" s="254">
        <f>L23+L25+L27+L31+L35+L37+L39</f>
        <v>0</v>
      </c>
    </row>
    <row r="42" spans="1:12" s="3" customFormat="1" ht="13.5" customHeight="1">
      <c r="A42" s="564" t="s">
        <v>1591</v>
      </c>
      <c r="B42" s="559"/>
      <c r="C42" s="559"/>
      <c r="D42" s="559"/>
      <c r="E42" s="559"/>
      <c r="F42" s="559"/>
      <c r="G42" s="559"/>
      <c r="H42" s="559"/>
      <c r="I42" s="560"/>
      <c r="J42" s="4">
        <v>107</v>
      </c>
      <c r="K42" s="254">
        <f>K24+K26+K29+K33+K36+K38+K40</f>
        <v>0</v>
      </c>
      <c r="L42" s="254">
        <f>L24+L26+L29+L33+L36+L38+L40</f>
        <v>0</v>
      </c>
    </row>
    <row r="43" spans="1:12" s="3" customFormat="1" ht="13.5" customHeight="1">
      <c r="A43" s="564" t="s">
        <v>1592</v>
      </c>
      <c r="B43" s="574"/>
      <c r="C43" s="574"/>
      <c r="D43" s="574"/>
      <c r="E43" s="574"/>
      <c r="F43" s="574"/>
      <c r="G43" s="574"/>
      <c r="H43" s="574"/>
      <c r="I43" s="575"/>
      <c r="J43" s="4">
        <v>108</v>
      </c>
      <c r="K43" s="254">
        <f>K44+K49</f>
        <v>0</v>
      </c>
      <c r="L43" s="254">
        <f>L44+L49</f>
        <v>0</v>
      </c>
    </row>
    <row r="44" spans="1:12" s="3" customFormat="1" ht="13.5" customHeight="1">
      <c r="A44" s="564" t="s">
        <v>1593</v>
      </c>
      <c r="B44" s="559"/>
      <c r="C44" s="559"/>
      <c r="D44" s="559"/>
      <c r="E44" s="559"/>
      <c r="F44" s="559"/>
      <c r="G44" s="559"/>
      <c r="H44" s="559"/>
      <c r="I44" s="560"/>
      <c r="J44" s="4">
        <v>109</v>
      </c>
      <c r="K44" s="254">
        <f>SUM(K45:K48)</f>
        <v>0</v>
      </c>
      <c r="L44" s="254">
        <f>SUM(L45:L48)</f>
        <v>0</v>
      </c>
    </row>
    <row r="45" spans="1:12" s="3" customFormat="1" ht="13.5" customHeight="1">
      <c r="A45" s="558" t="s">
        <v>1594</v>
      </c>
      <c r="B45" s="559"/>
      <c r="C45" s="559"/>
      <c r="D45" s="559"/>
      <c r="E45" s="559"/>
      <c r="F45" s="559"/>
      <c r="G45" s="559"/>
      <c r="H45" s="559"/>
      <c r="I45" s="560"/>
      <c r="J45" s="4">
        <v>110</v>
      </c>
      <c r="K45" s="241">
        <v>0</v>
      </c>
      <c r="L45" s="241">
        <v>0</v>
      </c>
    </row>
    <row r="46" spans="1:12" s="3" customFormat="1" ht="13.5" customHeight="1">
      <c r="A46" s="558" t="s">
        <v>1595</v>
      </c>
      <c r="B46" s="559"/>
      <c r="C46" s="559"/>
      <c r="D46" s="559"/>
      <c r="E46" s="559"/>
      <c r="F46" s="559"/>
      <c r="G46" s="559"/>
      <c r="H46" s="559"/>
      <c r="I46" s="560"/>
      <c r="J46" s="4">
        <v>111</v>
      </c>
      <c r="K46" s="241">
        <v>0</v>
      </c>
      <c r="L46" s="241">
        <v>0</v>
      </c>
    </row>
    <row r="47" spans="1:12" s="3" customFormat="1" ht="13.5" customHeight="1">
      <c r="A47" s="558" t="s">
        <v>1596</v>
      </c>
      <c r="B47" s="559"/>
      <c r="C47" s="559"/>
      <c r="D47" s="559"/>
      <c r="E47" s="559"/>
      <c r="F47" s="559"/>
      <c r="G47" s="559"/>
      <c r="H47" s="559"/>
      <c r="I47" s="560"/>
      <c r="J47" s="4">
        <v>112</v>
      </c>
      <c r="K47" s="241">
        <v>0</v>
      </c>
      <c r="L47" s="241">
        <v>0</v>
      </c>
    </row>
    <row r="48" spans="1:12" s="3" customFormat="1" ht="13.5" customHeight="1">
      <c r="A48" s="558" t="s">
        <v>1597</v>
      </c>
      <c r="B48" s="559"/>
      <c r="C48" s="559"/>
      <c r="D48" s="559"/>
      <c r="E48" s="559"/>
      <c r="F48" s="559"/>
      <c r="G48" s="559"/>
      <c r="H48" s="559"/>
      <c r="I48" s="560"/>
      <c r="J48" s="4">
        <v>113</v>
      </c>
      <c r="K48" s="241">
        <v>0</v>
      </c>
      <c r="L48" s="241">
        <v>0</v>
      </c>
    </row>
    <row r="49" spans="1:12" s="3" customFormat="1" ht="13.5" customHeight="1">
      <c r="A49" s="564" t="s">
        <v>1598</v>
      </c>
      <c r="B49" s="559"/>
      <c r="C49" s="559"/>
      <c r="D49" s="559"/>
      <c r="E49" s="559"/>
      <c r="F49" s="559"/>
      <c r="G49" s="559"/>
      <c r="H49" s="559"/>
      <c r="I49" s="560"/>
      <c r="J49" s="4">
        <v>114</v>
      </c>
      <c r="K49" s="254">
        <f>SUM(K50:K53)</f>
        <v>0</v>
      </c>
      <c r="L49" s="254">
        <f>SUM(L50:L53)</f>
        <v>0</v>
      </c>
    </row>
    <row r="50" spans="1:12" s="3" customFormat="1" ht="13.5" customHeight="1">
      <c r="A50" s="558" t="s">
        <v>1594</v>
      </c>
      <c r="B50" s="559"/>
      <c r="C50" s="559"/>
      <c r="D50" s="559"/>
      <c r="E50" s="559"/>
      <c r="F50" s="559"/>
      <c r="G50" s="559"/>
      <c r="H50" s="559"/>
      <c r="I50" s="560"/>
      <c r="J50" s="4">
        <v>115</v>
      </c>
      <c r="K50" s="241">
        <v>0</v>
      </c>
      <c r="L50" s="241">
        <v>0</v>
      </c>
    </row>
    <row r="51" spans="1:12" s="3" customFormat="1" ht="13.5" customHeight="1">
      <c r="A51" s="558" t="s">
        <v>1595</v>
      </c>
      <c r="B51" s="559"/>
      <c r="C51" s="559"/>
      <c r="D51" s="559"/>
      <c r="E51" s="559"/>
      <c r="F51" s="559"/>
      <c r="G51" s="559"/>
      <c r="H51" s="559"/>
      <c r="I51" s="560"/>
      <c r="J51" s="4">
        <v>116</v>
      </c>
      <c r="K51" s="241">
        <v>0</v>
      </c>
      <c r="L51" s="241">
        <v>0</v>
      </c>
    </row>
    <row r="52" spans="1:12" s="3" customFormat="1" ht="13.5" customHeight="1">
      <c r="A52" s="558" t="s">
        <v>1596</v>
      </c>
      <c r="B52" s="559"/>
      <c r="C52" s="559"/>
      <c r="D52" s="559"/>
      <c r="E52" s="559"/>
      <c r="F52" s="559"/>
      <c r="G52" s="559"/>
      <c r="H52" s="559"/>
      <c r="I52" s="560"/>
      <c r="J52" s="4">
        <v>117</v>
      </c>
      <c r="K52" s="241">
        <v>0</v>
      </c>
      <c r="L52" s="241">
        <v>0</v>
      </c>
    </row>
    <row r="53" spans="1:12" s="3" customFormat="1" ht="13.5" customHeight="1">
      <c r="A53" s="570" t="s">
        <v>1597</v>
      </c>
      <c r="B53" s="568"/>
      <c r="C53" s="568"/>
      <c r="D53" s="568"/>
      <c r="E53" s="568"/>
      <c r="F53" s="568"/>
      <c r="G53" s="568"/>
      <c r="H53" s="568"/>
      <c r="I53" s="569"/>
      <c r="J53" s="4">
        <v>118</v>
      </c>
      <c r="K53" s="241">
        <v>0</v>
      </c>
      <c r="L53" s="241">
        <v>0</v>
      </c>
    </row>
    <row r="54" spans="1:12" s="3" customFormat="1" ht="13.5" customHeight="1">
      <c r="A54" s="485" t="s">
        <v>1599</v>
      </c>
      <c r="B54" s="486"/>
      <c r="C54" s="486"/>
      <c r="D54" s="486"/>
      <c r="E54" s="486"/>
      <c r="F54" s="486"/>
      <c r="G54" s="486"/>
      <c r="H54" s="486"/>
      <c r="I54" s="486"/>
      <c r="J54" s="486"/>
      <c r="K54" s="486"/>
      <c r="L54" s="487"/>
    </row>
    <row r="55" spans="1:12" s="3" customFormat="1" ht="13.5" customHeight="1">
      <c r="A55" s="571" t="s">
        <v>1600</v>
      </c>
      <c r="B55" s="572"/>
      <c r="C55" s="572"/>
      <c r="D55" s="572"/>
      <c r="E55" s="572"/>
      <c r="F55" s="572"/>
      <c r="G55" s="572"/>
      <c r="H55" s="572"/>
      <c r="I55" s="573"/>
      <c r="J55" s="4">
        <v>119</v>
      </c>
      <c r="K55" s="251">
        <f>SUM(K56:K61)</f>
        <v>0</v>
      </c>
      <c r="L55" s="251">
        <f>SUM(L56:L61)</f>
        <v>0</v>
      </c>
    </row>
    <row r="56" spans="1:12" s="3" customFormat="1" ht="13.5" customHeight="1">
      <c r="A56" s="489" t="s">
        <v>1601</v>
      </c>
      <c r="B56" s="565"/>
      <c r="C56" s="565"/>
      <c r="D56" s="565"/>
      <c r="E56" s="565"/>
      <c r="F56" s="565"/>
      <c r="G56" s="565"/>
      <c r="H56" s="565"/>
      <c r="I56" s="566"/>
      <c r="J56" s="4">
        <v>120</v>
      </c>
      <c r="K56" s="241">
        <v>0</v>
      </c>
      <c r="L56" s="241">
        <v>0</v>
      </c>
    </row>
    <row r="57" spans="1:12" s="3" customFormat="1" ht="13.5" customHeight="1">
      <c r="A57" s="489" t="s">
        <v>1602</v>
      </c>
      <c r="B57" s="565"/>
      <c r="C57" s="565"/>
      <c r="D57" s="565"/>
      <c r="E57" s="565"/>
      <c r="F57" s="565"/>
      <c r="G57" s="565"/>
      <c r="H57" s="565"/>
      <c r="I57" s="566"/>
      <c r="J57" s="4">
        <v>121</v>
      </c>
      <c r="K57" s="241">
        <v>0</v>
      </c>
      <c r="L57" s="241">
        <v>0</v>
      </c>
    </row>
    <row r="58" spans="1:12" s="3" customFormat="1" ht="13.5" customHeight="1">
      <c r="A58" s="489" t="s">
        <v>1603</v>
      </c>
      <c r="B58" s="565"/>
      <c r="C58" s="565"/>
      <c r="D58" s="565"/>
      <c r="E58" s="565"/>
      <c r="F58" s="565"/>
      <c r="G58" s="565"/>
      <c r="H58" s="565"/>
      <c r="I58" s="566"/>
      <c r="J58" s="4">
        <v>122</v>
      </c>
      <c r="K58" s="241">
        <v>0</v>
      </c>
      <c r="L58" s="241">
        <v>0</v>
      </c>
    </row>
    <row r="59" spans="1:12" s="3" customFormat="1" ht="13.5" customHeight="1">
      <c r="A59" s="489" t="s">
        <v>1604</v>
      </c>
      <c r="B59" s="565"/>
      <c r="C59" s="565"/>
      <c r="D59" s="565"/>
      <c r="E59" s="565"/>
      <c r="F59" s="565"/>
      <c r="G59" s="565"/>
      <c r="H59" s="565"/>
      <c r="I59" s="566"/>
      <c r="J59" s="4">
        <v>123</v>
      </c>
      <c r="K59" s="241">
        <v>0</v>
      </c>
      <c r="L59" s="241">
        <v>0</v>
      </c>
    </row>
    <row r="60" spans="1:12" s="3" customFormat="1" ht="13.5" customHeight="1">
      <c r="A60" s="489" t="s">
        <v>1605</v>
      </c>
      <c r="B60" s="565"/>
      <c r="C60" s="565"/>
      <c r="D60" s="565"/>
      <c r="E60" s="565"/>
      <c r="F60" s="565"/>
      <c r="G60" s="565"/>
      <c r="H60" s="565"/>
      <c r="I60" s="566"/>
      <c r="J60" s="4">
        <v>124</v>
      </c>
      <c r="K60" s="241">
        <v>0</v>
      </c>
      <c r="L60" s="241">
        <v>0</v>
      </c>
    </row>
    <row r="61" spans="1:12" s="3" customFormat="1" ht="13.5" customHeight="1">
      <c r="A61" s="489" t="s">
        <v>1606</v>
      </c>
      <c r="B61" s="565"/>
      <c r="C61" s="565"/>
      <c r="D61" s="565"/>
      <c r="E61" s="565"/>
      <c r="F61" s="565"/>
      <c r="G61" s="565"/>
      <c r="H61" s="565"/>
      <c r="I61" s="566"/>
      <c r="J61" s="4">
        <v>125</v>
      </c>
      <c r="K61" s="241">
        <v>0</v>
      </c>
      <c r="L61" s="241">
        <v>0</v>
      </c>
    </row>
    <row r="62" spans="1:12" s="3" customFormat="1" ht="13.5" customHeight="1">
      <c r="A62" s="492" t="s">
        <v>1607</v>
      </c>
      <c r="B62" s="565"/>
      <c r="C62" s="565"/>
      <c r="D62" s="565"/>
      <c r="E62" s="565"/>
      <c r="F62" s="565"/>
      <c r="G62" s="565"/>
      <c r="H62" s="565"/>
      <c r="I62" s="566"/>
      <c r="J62" s="4">
        <v>126</v>
      </c>
      <c r="K62" s="254">
        <f>SUM(K63:K65)</f>
        <v>0</v>
      </c>
      <c r="L62" s="254">
        <f>SUM(L63:L65)</f>
        <v>0</v>
      </c>
    </row>
    <row r="63" spans="1:12" s="3" customFormat="1" ht="13.5" customHeight="1">
      <c r="A63" s="489" t="s">
        <v>1608</v>
      </c>
      <c r="B63" s="565"/>
      <c r="C63" s="565"/>
      <c r="D63" s="565"/>
      <c r="E63" s="565"/>
      <c r="F63" s="565"/>
      <c r="G63" s="565"/>
      <c r="H63" s="565"/>
      <c r="I63" s="566"/>
      <c r="J63" s="4">
        <v>127</v>
      </c>
      <c r="K63" s="241">
        <v>0</v>
      </c>
      <c r="L63" s="241">
        <v>0</v>
      </c>
    </row>
    <row r="64" spans="1:12" s="3" customFormat="1" ht="13.5" customHeight="1">
      <c r="A64" s="489" t="s">
        <v>1609</v>
      </c>
      <c r="B64" s="565"/>
      <c r="C64" s="565"/>
      <c r="D64" s="565"/>
      <c r="E64" s="565"/>
      <c r="F64" s="565"/>
      <c r="G64" s="565"/>
      <c r="H64" s="565"/>
      <c r="I64" s="566"/>
      <c r="J64" s="4">
        <v>128</v>
      </c>
      <c r="K64" s="241">
        <v>0</v>
      </c>
      <c r="L64" s="241">
        <v>0</v>
      </c>
    </row>
    <row r="65" spans="1:12" s="3" customFormat="1" ht="13.5" customHeight="1">
      <c r="A65" s="489" t="s">
        <v>1610</v>
      </c>
      <c r="B65" s="490"/>
      <c r="C65" s="490"/>
      <c r="D65" s="490"/>
      <c r="E65" s="490"/>
      <c r="F65" s="490"/>
      <c r="G65" s="490"/>
      <c r="H65" s="490"/>
      <c r="I65" s="491"/>
      <c r="J65" s="4">
        <v>129</v>
      </c>
      <c r="K65" s="241">
        <v>0</v>
      </c>
      <c r="L65" s="241">
        <v>0</v>
      </c>
    </row>
    <row r="66" spans="1:12" s="3" customFormat="1" ht="13.5" customHeight="1">
      <c r="A66" s="492" t="s">
        <v>1611</v>
      </c>
      <c r="B66" s="490"/>
      <c r="C66" s="490"/>
      <c r="D66" s="490"/>
      <c r="E66" s="490"/>
      <c r="F66" s="490"/>
      <c r="G66" s="490"/>
      <c r="H66" s="490"/>
      <c r="I66" s="491"/>
      <c r="J66" s="4">
        <v>130</v>
      </c>
      <c r="K66" s="254">
        <f>SUM(K67:K72)</f>
        <v>0</v>
      </c>
      <c r="L66" s="254">
        <f>SUM(L67:L72)</f>
        <v>0</v>
      </c>
    </row>
    <row r="67" spans="1:12" s="3" customFormat="1" ht="13.5" customHeight="1">
      <c r="A67" s="489" t="s">
        <v>1612</v>
      </c>
      <c r="B67" s="490"/>
      <c r="C67" s="490"/>
      <c r="D67" s="490"/>
      <c r="E67" s="490"/>
      <c r="F67" s="490"/>
      <c r="G67" s="490"/>
      <c r="H67" s="490"/>
      <c r="I67" s="491"/>
      <c r="J67" s="4">
        <v>131</v>
      </c>
      <c r="K67" s="241">
        <v>0</v>
      </c>
      <c r="L67" s="241">
        <v>0</v>
      </c>
    </row>
    <row r="68" spans="1:12" s="3" customFormat="1" ht="13.5" customHeight="1">
      <c r="A68" s="489" t="s">
        <v>1613</v>
      </c>
      <c r="B68" s="490"/>
      <c r="C68" s="490"/>
      <c r="D68" s="490"/>
      <c r="E68" s="490"/>
      <c r="F68" s="490"/>
      <c r="G68" s="490"/>
      <c r="H68" s="490"/>
      <c r="I68" s="491"/>
      <c r="J68" s="4">
        <v>132</v>
      </c>
      <c r="K68" s="241">
        <v>0</v>
      </c>
      <c r="L68" s="241">
        <v>0</v>
      </c>
    </row>
    <row r="69" spans="1:12" s="3" customFormat="1" ht="13.5" customHeight="1">
      <c r="A69" s="489" t="s">
        <v>1614</v>
      </c>
      <c r="B69" s="490"/>
      <c r="C69" s="490"/>
      <c r="D69" s="490"/>
      <c r="E69" s="490"/>
      <c r="F69" s="490"/>
      <c r="G69" s="490"/>
      <c r="H69" s="490"/>
      <c r="I69" s="491"/>
      <c r="J69" s="4">
        <v>133</v>
      </c>
      <c r="K69" s="241">
        <v>0</v>
      </c>
      <c r="L69" s="241">
        <v>0</v>
      </c>
    </row>
    <row r="70" spans="1:12" s="3" customFormat="1" ht="13.5" customHeight="1">
      <c r="A70" s="489" t="s">
        <v>1615</v>
      </c>
      <c r="B70" s="490"/>
      <c r="C70" s="490"/>
      <c r="D70" s="490"/>
      <c r="E70" s="490"/>
      <c r="F70" s="490"/>
      <c r="G70" s="490"/>
      <c r="H70" s="490"/>
      <c r="I70" s="491"/>
      <c r="J70" s="4">
        <v>134</v>
      </c>
      <c r="K70" s="241">
        <v>0</v>
      </c>
      <c r="L70" s="241">
        <v>0</v>
      </c>
    </row>
    <row r="71" spans="1:12" s="3" customFormat="1" ht="13.5" customHeight="1">
      <c r="A71" s="489" t="s">
        <v>1616</v>
      </c>
      <c r="B71" s="490"/>
      <c r="C71" s="490"/>
      <c r="D71" s="490"/>
      <c r="E71" s="490"/>
      <c r="F71" s="490"/>
      <c r="G71" s="490"/>
      <c r="H71" s="490"/>
      <c r="I71" s="491"/>
      <c r="J71" s="4">
        <v>135</v>
      </c>
      <c r="K71" s="241">
        <v>0</v>
      </c>
      <c r="L71" s="241">
        <v>0</v>
      </c>
    </row>
    <row r="72" spans="1:12" s="3" customFormat="1" ht="13.5" customHeight="1">
      <c r="A72" s="489" t="s">
        <v>1617</v>
      </c>
      <c r="B72" s="490"/>
      <c r="C72" s="490"/>
      <c r="D72" s="490"/>
      <c r="E72" s="490"/>
      <c r="F72" s="490"/>
      <c r="G72" s="490"/>
      <c r="H72" s="490"/>
      <c r="I72" s="491"/>
      <c r="J72" s="4">
        <v>136</v>
      </c>
      <c r="K72" s="241">
        <v>0</v>
      </c>
      <c r="L72" s="241">
        <v>0</v>
      </c>
    </row>
    <row r="73" spans="1:12" s="3" customFormat="1" ht="24.75" customHeight="1">
      <c r="A73" s="492" t="s">
        <v>1618</v>
      </c>
      <c r="B73" s="490"/>
      <c r="C73" s="490"/>
      <c r="D73" s="490"/>
      <c r="E73" s="490"/>
      <c r="F73" s="490"/>
      <c r="G73" s="490"/>
      <c r="H73" s="490"/>
      <c r="I73" s="491"/>
      <c r="J73" s="4">
        <v>137</v>
      </c>
      <c r="K73" s="254">
        <f>SUM(K74:K79)</f>
        <v>0</v>
      </c>
      <c r="L73" s="254">
        <f>SUM(L74:L79)</f>
        <v>0</v>
      </c>
    </row>
    <row r="74" spans="1:12" s="3" customFormat="1" ht="24.75" customHeight="1">
      <c r="A74" s="489" t="s">
        <v>683</v>
      </c>
      <c r="B74" s="490"/>
      <c r="C74" s="490"/>
      <c r="D74" s="490"/>
      <c r="E74" s="490"/>
      <c r="F74" s="490"/>
      <c r="G74" s="490"/>
      <c r="H74" s="490"/>
      <c r="I74" s="491"/>
      <c r="J74" s="4">
        <v>138</v>
      </c>
      <c r="K74" s="241">
        <v>0</v>
      </c>
      <c r="L74" s="241">
        <v>0</v>
      </c>
    </row>
    <row r="75" spans="1:12" s="3" customFormat="1" ht="24.75" customHeight="1">
      <c r="A75" s="489" t="s">
        <v>684</v>
      </c>
      <c r="B75" s="490"/>
      <c r="C75" s="490"/>
      <c r="D75" s="490"/>
      <c r="E75" s="490"/>
      <c r="F75" s="490"/>
      <c r="G75" s="490"/>
      <c r="H75" s="490"/>
      <c r="I75" s="491"/>
      <c r="J75" s="4">
        <v>139</v>
      </c>
      <c r="K75" s="241">
        <v>0</v>
      </c>
      <c r="L75" s="241">
        <v>0</v>
      </c>
    </row>
    <row r="76" spans="1:12" s="3" customFormat="1" ht="24.75" customHeight="1">
      <c r="A76" s="489" t="s">
        <v>1481</v>
      </c>
      <c r="B76" s="490"/>
      <c r="C76" s="490"/>
      <c r="D76" s="490"/>
      <c r="E76" s="490"/>
      <c r="F76" s="490"/>
      <c r="G76" s="490"/>
      <c r="H76" s="490"/>
      <c r="I76" s="491"/>
      <c r="J76" s="4">
        <v>140</v>
      </c>
      <c r="K76" s="241">
        <v>0</v>
      </c>
      <c r="L76" s="241">
        <v>0</v>
      </c>
    </row>
    <row r="77" spans="1:12" s="3" customFormat="1" ht="24.75" customHeight="1">
      <c r="A77" s="489" t="s">
        <v>1482</v>
      </c>
      <c r="B77" s="490"/>
      <c r="C77" s="490"/>
      <c r="D77" s="490"/>
      <c r="E77" s="490"/>
      <c r="F77" s="490"/>
      <c r="G77" s="490"/>
      <c r="H77" s="490"/>
      <c r="I77" s="491"/>
      <c r="J77" s="4">
        <v>141</v>
      </c>
      <c r="K77" s="241">
        <v>0</v>
      </c>
      <c r="L77" s="241">
        <v>0</v>
      </c>
    </row>
    <row r="78" spans="1:12" s="3" customFormat="1" ht="24.75" customHeight="1">
      <c r="A78" s="489" t="s">
        <v>1485</v>
      </c>
      <c r="B78" s="490"/>
      <c r="C78" s="490"/>
      <c r="D78" s="490"/>
      <c r="E78" s="490"/>
      <c r="F78" s="490"/>
      <c r="G78" s="490"/>
      <c r="H78" s="490"/>
      <c r="I78" s="491"/>
      <c r="J78" s="4">
        <v>142</v>
      </c>
      <c r="K78" s="241">
        <v>0</v>
      </c>
      <c r="L78" s="241">
        <v>0</v>
      </c>
    </row>
    <row r="79" spans="1:12" s="3" customFormat="1" ht="24.75" customHeight="1">
      <c r="A79" s="489" t="s">
        <v>1483</v>
      </c>
      <c r="B79" s="490"/>
      <c r="C79" s="490"/>
      <c r="D79" s="490"/>
      <c r="E79" s="490"/>
      <c r="F79" s="490"/>
      <c r="G79" s="490"/>
      <c r="H79" s="490"/>
      <c r="I79" s="491"/>
      <c r="J79" s="4">
        <v>143</v>
      </c>
      <c r="K79" s="241">
        <v>0</v>
      </c>
      <c r="L79" s="241">
        <v>0</v>
      </c>
    </row>
    <row r="80" spans="1:12" s="3" customFormat="1" ht="13.5" customHeight="1">
      <c r="A80" s="492" t="s">
        <v>685</v>
      </c>
      <c r="B80" s="490"/>
      <c r="C80" s="490"/>
      <c r="D80" s="490"/>
      <c r="E80" s="490"/>
      <c r="F80" s="490"/>
      <c r="G80" s="490"/>
      <c r="H80" s="490"/>
      <c r="I80" s="491"/>
      <c r="J80" s="4">
        <v>144</v>
      </c>
      <c r="K80" s="254">
        <f>SUM(K81:K84)</f>
        <v>0</v>
      </c>
      <c r="L80" s="254">
        <f>SUM(L81:L84)</f>
        <v>0</v>
      </c>
    </row>
    <row r="81" spans="1:12" s="3" customFormat="1" ht="13.5" customHeight="1">
      <c r="A81" s="489" t="s">
        <v>686</v>
      </c>
      <c r="B81" s="490"/>
      <c r="C81" s="490"/>
      <c r="D81" s="490"/>
      <c r="E81" s="490"/>
      <c r="F81" s="490"/>
      <c r="G81" s="490"/>
      <c r="H81" s="490"/>
      <c r="I81" s="491"/>
      <c r="J81" s="4">
        <v>145</v>
      </c>
      <c r="K81" s="241">
        <v>0</v>
      </c>
      <c r="L81" s="241">
        <v>0</v>
      </c>
    </row>
    <row r="82" spans="1:12" s="3" customFormat="1" ht="13.5" customHeight="1">
      <c r="A82" s="489" t="s">
        <v>687</v>
      </c>
      <c r="B82" s="490"/>
      <c r="C82" s="490"/>
      <c r="D82" s="490"/>
      <c r="E82" s="490"/>
      <c r="F82" s="490"/>
      <c r="G82" s="490"/>
      <c r="H82" s="490"/>
      <c r="I82" s="491"/>
      <c r="J82" s="4">
        <v>146</v>
      </c>
      <c r="K82" s="241">
        <v>0</v>
      </c>
      <c r="L82" s="241">
        <v>0</v>
      </c>
    </row>
    <row r="83" spans="1:12" s="3" customFormat="1" ht="13.5" customHeight="1">
      <c r="A83" s="489" t="s">
        <v>688</v>
      </c>
      <c r="B83" s="490"/>
      <c r="C83" s="490"/>
      <c r="D83" s="490"/>
      <c r="E83" s="490"/>
      <c r="F83" s="490"/>
      <c r="G83" s="490"/>
      <c r="H83" s="490"/>
      <c r="I83" s="491"/>
      <c r="J83" s="4">
        <v>147</v>
      </c>
      <c r="K83" s="241">
        <v>0</v>
      </c>
      <c r="L83" s="241">
        <v>0</v>
      </c>
    </row>
    <row r="84" spans="1:12" s="3" customFormat="1" ht="13.5" customHeight="1">
      <c r="A84" s="489" t="s">
        <v>689</v>
      </c>
      <c r="B84" s="490"/>
      <c r="C84" s="490"/>
      <c r="D84" s="490"/>
      <c r="E84" s="490"/>
      <c r="F84" s="490"/>
      <c r="G84" s="490"/>
      <c r="H84" s="490"/>
      <c r="I84" s="491"/>
      <c r="J84" s="4">
        <v>148</v>
      </c>
      <c r="K84" s="241">
        <v>0</v>
      </c>
      <c r="L84" s="241">
        <v>0</v>
      </c>
    </row>
    <row r="85" spans="1:12" s="3" customFormat="1" ht="13.5" customHeight="1">
      <c r="A85" s="492" t="s">
        <v>690</v>
      </c>
      <c r="B85" s="490"/>
      <c r="C85" s="490"/>
      <c r="D85" s="490"/>
      <c r="E85" s="490"/>
      <c r="F85" s="490"/>
      <c r="G85" s="490"/>
      <c r="H85" s="490"/>
      <c r="I85" s="491"/>
      <c r="J85" s="4">
        <v>149</v>
      </c>
      <c r="K85" s="254">
        <f>SUM(K86:K91)</f>
        <v>0</v>
      </c>
      <c r="L85" s="254">
        <f>SUM(L86:L91)</f>
        <v>0</v>
      </c>
    </row>
    <row r="86" spans="1:12" s="3" customFormat="1" ht="13.5" customHeight="1">
      <c r="A86" s="489" t="s">
        <v>691</v>
      </c>
      <c r="B86" s="490"/>
      <c r="C86" s="490"/>
      <c r="D86" s="490"/>
      <c r="E86" s="490"/>
      <c r="F86" s="490"/>
      <c r="G86" s="490"/>
      <c r="H86" s="490"/>
      <c r="I86" s="491"/>
      <c r="J86" s="4">
        <v>150</v>
      </c>
      <c r="K86" s="241">
        <v>0</v>
      </c>
      <c r="L86" s="241">
        <v>0</v>
      </c>
    </row>
    <row r="87" spans="1:12" s="3" customFormat="1" ht="13.5" customHeight="1">
      <c r="A87" s="489" t="s">
        <v>692</v>
      </c>
      <c r="B87" s="490"/>
      <c r="C87" s="490"/>
      <c r="D87" s="490"/>
      <c r="E87" s="490"/>
      <c r="F87" s="490"/>
      <c r="G87" s="490"/>
      <c r="H87" s="490"/>
      <c r="I87" s="491"/>
      <c r="J87" s="4">
        <v>151</v>
      </c>
      <c r="K87" s="241">
        <v>0</v>
      </c>
      <c r="L87" s="241">
        <v>0</v>
      </c>
    </row>
    <row r="88" spans="1:12" s="3" customFormat="1" ht="13.5" customHeight="1">
      <c r="A88" s="489" t="s">
        <v>693</v>
      </c>
      <c r="B88" s="490"/>
      <c r="C88" s="490"/>
      <c r="D88" s="490"/>
      <c r="E88" s="490"/>
      <c r="F88" s="490"/>
      <c r="G88" s="490"/>
      <c r="H88" s="490"/>
      <c r="I88" s="491"/>
      <c r="J88" s="4">
        <v>152</v>
      </c>
      <c r="K88" s="241">
        <v>0</v>
      </c>
      <c r="L88" s="241">
        <v>0</v>
      </c>
    </row>
    <row r="89" spans="1:12" s="3" customFormat="1" ht="13.5" customHeight="1">
      <c r="A89" s="489" t="s">
        <v>694</v>
      </c>
      <c r="B89" s="490"/>
      <c r="C89" s="490"/>
      <c r="D89" s="490"/>
      <c r="E89" s="490"/>
      <c r="F89" s="490"/>
      <c r="G89" s="490"/>
      <c r="H89" s="490"/>
      <c r="I89" s="491"/>
      <c r="J89" s="4">
        <v>153</v>
      </c>
      <c r="K89" s="241">
        <v>0</v>
      </c>
      <c r="L89" s="241">
        <v>0</v>
      </c>
    </row>
    <row r="90" spans="1:12" s="3" customFormat="1" ht="13.5" customHeight="1">
      <c r="A90" s="489" t="s">
        <v>695</v>
      </c>
      <c r="B90" s="490"/>
      <c r="C90" s="490"/>
      <c r="D90" s="490"/>
      <c r="E90" s="490"/>
      <c r="F90" s="490"/>
      <c r="G90" s="490"/>
      <c r="H90" s="490"/>
      <c r="I90" s="491"/>
      <c r="J90" s="4">
        <v>154</v>
      </c>
      <c r="K90" s="241">
        <v>0</v>
      </c>
      <c r="L90" s="241">
        <v>0</v>
      </c>
    </row>
    <row r="91" spans="1:12" s="3" customFormat="1" ht="13.5" customHeight="1">
      <c r="A91" s="489" t="s">
        <v>696</v>
      </c>
      <c r="B91" s="490"/>
      <c r="C91" s="490"/>
      <c r="D91" s="490"/>
      <c r="E91" s="490"/>
      <c r="F91" s="490"/>
      <c r="G91" s="490"/>
      <c r="H91" s="490"/>
      <c r="I91" s="491"/>
      <c r="J91" s="4">
        <v>155</v>
      </c>
      <c r="K91" s="241">
        <v>0</v>
      </c>
      <c r="L91" s="241">
        <v>0</v>
      </c>
    </row>
    <row r="92" spans="1:12" s="3" customFormat="1" ht="13.5" customHeight="1">
      <c r="A92" s="492" t="s">
        <v>697</v>
      </c>
      <c r="B92" s="490"/>
      <c r="C92" s="490"/>
      <c r="D92" s="490"/>
      <c r="E92" s="490"/>
      <c r="F92" s="490"/>
      <c r="G92" s="490"/>
      <c r="H92" s="490"/>
      <c r="I92" s="491"/>
      <c r="J92" s="4">
        <v>156</v>
      </c>
      <c r="K92" s="254">
        <f>SUM(K93:K98)</f>
        <v>0</v>
      </c>
      <c r="L92" s="254">
        <f>SUM(L93:L98)</f>
        <v>0</v>
      </c>
    </row>
    <row r="93" spans="1:12" s="3" customFormat="1" ht="13.5" customHeight="1">
      <c r="A93" s="489" t="s">
        <v>698</v>
      </c>
      <c r="B93" s="490"/>
      <c r="C93" s="490"/>
      <c r="D93" s="490"/>
      <c r="E93" s="490"/>
      <c r="F93" s="490"/>
      <c r="G93" s="490"/>
      <c r="H93" s="490"/>
      <c r="I93" s="491"/>
      <c r="J93" s="4">
        <v>157</v>
      </c>
      <c r="K93" s="241">
        <v>0</v>
      </c>
      <c r="L93" s="241">
        <v>0</v>
      </c>
    </row>
    <row r="94" spans="1:12" s="3" customFormat="1" ht="13.5" customHeight="1">
      <c r="A94" s="489" t="s">
        <v>699</v>
      </c>
      <c r="B94" s="490"/>
      <c r="C94" s="490"/>
      <c r="D94" s="490"/>
      <c r="E94" s="490"/>
      <c r="F94" s="490"/>
      <c r="G94" s="490"/>
      <c r="H94" s="490"/>
      <c r="I94" s="491"/>
      <c r="J94" s="4">
        <v>158</v>
      </c>
      <c r="K94" s="241">
        <v>0</v>
      </c>
      <c r="L94" s="241">
        <v>0</v>
      </c>
    </row>
    <row r="95" spans="1:12" s="3" customFormat="1" ht="13.5" customHeight="1">
      <c r="A95" s="489" t="s">
        <v>700</v>
      </c>
      <c r="B95" s="490"/>
      <c r="C95" s="490"/>
      <c r="D95" s="490"/>
      <c r="E95" s="490"/>
      <c r="F95" s="490"/>
      <c r="G95" s="490"/>
      <c r="H95" s="490"/>
      <c r="I95" s="491"/>
      <c r="J95" s="4">
        <v>159</v>
      </c>
      <c r="K95" s="241">
        <v>0</v>
      </c>
      <c r="L95" s="241">
        <v>0</v>
      </c>
    </row>
    <row r="96" spans="1:12" s="3" customFormat="1" ht="13.5" customHeight="1">
      <c r="A96" s="489" t="s">
        <v>237</v>
      </c>
      <c r="B96" s="490"/>
      <c r="C96" s="490"/>
      <c r="D96" s="490"/>
      <c r="E96" s="490"/>
      <c r="F96" s="490"/>
      <c r="G96" s="490"/>
      <c r="H96" s="490"/>
      <c r="I96" s="491"/>
      <c r="J96" s="4">
        <v>160</v>
      </c>
      <c r="K96" s="241">
        <v>0</v>
      </c>
      <c r="L96" s="241">
        <v>0</v>
      </c>
    </row>
    <row r="97" spans="1:12" s="3" customFormat="1" ht="13.5" customHeight="1">
      <c r="A97" s="489" t="s">
        <v>238</v>
      </c>
      <c r="B97" s="490"/>
      <c r="C97" s="490"/>
      <c r="D97" s="490"/>
      <c r="E97" s="490"/>
      <c r="F97" s="490"/>
      <c r="G97" s="490"/>
      <c r="H97" s="490"/>
      <c r="I97" s="491"/>
      <c r="J97" s="4">
        <v>161</v>
      </c>
      <c r="K97" s="241">
        <v>0</v>
      </c>
      <c r="L97" s="241">
        <v>0</v>
      </c>
    </row>
    <row r="98" spans="1:12" s="3" customFormat="1" ht="13.5" customHeight="1">
      <c r="A98" s="489" t="s">
        <v>239</v>
      </c>
      <c r="B98" s="490"/>
      <c r="C98" s="490"/>
      <c r="D98" s="490"/>
      <c r="E98" s="490"/>
      <c r="F98" s="490"/>
      <c r="G98" s="490"/>
      <c r="H98" s="490"/>
      <c r="I98" s="491"/>
      <c r="J98" s="4">
        <v>162</v>
      </c>
      <c r="K98" s="241">
        <v>0</v>
      </c>
      <c r="L98" s="241">
        <v>0</v>
      </c>
    </row>
    <row r="99" spans="1:12" s="3" customFormat="1" ht="13.5" customHeight="1">
      <c r="A99" s="492" t="s">
        <v>240</v>
      </c>
      <c r="B99" s="490"/>
      <c r="C99" s="490"/>
      <c r="D99" s="490"/>
      <c r="E99" s="490"/>
      <c r="F99" s="490"/>
      <c r="G99" s="490"/>
      <c r="H99" s="490"/>
      <c r="I99" s="491"/>
      <c r="J99" s="4">
        <v>163</v>
      </c>
      <c r="K99" s="254">
        <f>SUM(K100:K102)</f>
        <v>0</v>
      </c>
      <c r="L99" s="254">
        <f>SUM(L100:L102)</f>
        <v>0</v>
      </c>
    </row>
    <row r="100" spans="1:12" s="3" customFormat="1" ht="13.5" customHeight="1">
      <c r="A100" s="489" t="s">
        <v>241</v>
      </c>
      <c r="B100" s="490"/>
      <c r="C100" s="490"/>
      <c r="D100" s="490"/>
      <c r="E100" s="490"/>
      <c r="F100" s="490"/>
      <c r="G100" s="490"/>
      <c r="H100" s="490"/>
      <c r="I100" s="491"/>
      <c r="J100" s="4">
        <v>164</v>
      </c>
      <c r="K100" s="241">
        <v>0</v>
      </c>
      <c r="L100" s="241">
        <v>0</v>
      </c>
    </row>
    <row r="101" spans="1:12" s="3" customFormat="1" ht="13.5" customHeight="1">
      <c r="A101" s="489" t="s">
        <v>242</v>
      </c>
      <c r="B101" s="490"/>
      <c r="C101" s="490"/>
      <c r="D101" s="490"/>
      <c r="E101" s="490"/>
      <c r="F101" s="490"/>
      <c r="G101" s="490"/>
      <c r="H101" s="490"/>
      <c r="I101" s="491"/>
      <c r="J101" s="4">
        <v>165</v>
      </c>
      <c r="K101" s="241">
        <v>0</v>
      </c>
      <c r="L101" s="241">
        <v>0</v>
      </c>
    </row>
    <row r="102" spans="1:12" s="3" customFormat="1" ht="13.5" customHeight="1">
      <c r="A102" s="489" t="s">
        <v>243</v>
      </c>
      <c r="B102" s="490"/>
      <c r="C102" s="490"/>
      <c r="D102" s="490"/>
      <c r="E102" s="490"/>
      <c r="F102" s="490"/>
      <c r="G102" s="490"/>
      <c r="H102" s="490"/>
      <c r="I102" s="491"/>
      <c r="J102" s="4">
        <v>166</v>
      </c>
      <c r="K102" s="241">
        <v>0</v>
      </c>
      <c r="L102" s="241">
        <v>0</v>
      </c>
    </row>
    <row r="103" spans="1:12" s="3" customFormat="1" ht="13.5" customHeight="1">
      <c r="A103" s="492" t="s">
        <v>593</v>
      </c>
      <c r="B103" s="490"/>
      <c r="C103" s="490"/>
      <c r="D103" s="490"/>
      <c r="E103" s="490"/>
      <c r="F103" s="490"/>
      <c r="G103" s="490"/>
      <c r="H103" s="490"/>
      <c r="I103" s="491"/>
      <c r="J103" s="4">
        <v>167</v>
      </c>
      <c r="K103" s="254">
        <f>K104+K108+K109</f>
        <v>0</v>
      </c>
      <c r="L103" s="254">
        <f>L104+L108+L109</f>
        <v>0</v>
      </c>
    </row>
    <row r="104" spans="1:12" s="3" customFormat="1" ht="13.5" customHeight="1">
      <c r="A104" s="492" t="s">
        <v>594</v>
      </c>
      <c r="B104" s="490"/>
      <c r="C104" s="490"/>
      <c r="D104" s="490"/>
      <c r="E104" s="490"/>
      <c r="F104" s="490"/>
      <c r="G104" s="490"/>
      <c r="H104" s="490"/>
      <c r="I104" s="491"/>
      <c r="J104" s="4">
        <v>168</v>
      </c>
      <c r="K104" s="254">
        <f>SUM(K105:K107)</f>
        <v>0</v>
      </c>
      <c r="L104" s="254">
        <f>SUM(L105:L107)</f>
        <v>0</v>
      </c>
    </row>
    <row r="105" spans="1:12" s="3" customFormat="1" ht="13.5" customHeight="1">
      <c r="A105" s="489" t="s">
        <v>595</v>
      </c>
      <c r="B105" s="490"/>
      <c r="C105" s="490"/>
      <c r="D105" s="490"/>
      <c r="E105" s="490"/>
      <c r="F105" s="490"/>
      <c r="G105" s="490"/>
      <c r="H105" s="490"/>
      <c r="I105" s="491"/>
      <c r="J105" s="4">
        <v>169</v>
      </c>
      <c r="K105" s="241">
        <v>0</v>
      </c>
      <c r="L105" s="241">
        <v>0</v>
      </c>
    </row>
    <row r="106" spans="1:12" s="3" customFormat="1" ht="13.5" customHeight="1">
      <c r="A106" s="489" t="s">
        <v>596</v>
      </c>
      <c r="B106" s="490"/>
      <c r="C106" s="490"/>
      <c r="D106" s="490"/>
      <c r="E106" s="490"/>
      <c r="F106" s="490"/>
      <c r="G106" s="490"/>
      <c r="H106" s="490"/>
      <c r="I106" s="491"/>
      <c r="J106" s="4">
        <v>170</v>
      </c>
      <c r="K106" s="241">
        <v>0</v>
      </c>
      <c r="L106" s="241">
        <v>0</v>
      </c>
    </row>
    <row r="107" spans="1:12" s="3" customFormat="1" ht="13.5" customHeight="1">
      <c r="A107" s="489" t="s">
        <v>597</v>
      </c>
      <c r="B107" s="490"/>
      <c r="C107" s="490"/>
      <c r="D107" s="490"/>
      <c r="E107" s="490"/>
      <c r="F107" s="490"/>
      <c r="G107" s="490"/>
      <c r="H107" s="490"/>
      <c r="I107" s="491"/>
      <c r="J107" s="4">
        <v>171</v>
      </c>
      <c r="K107" s="241">
        <v>0</v>
      </c>
      <c r="L107" s="241">
        <v>0</v>
      </c>
    </row>
    <row r="108" spans="1:12" s="3" customFormat="1" ht="13.5" customHeight="1">
      <c r="A108" s="492" t="s">
        <v>598</v>
      </c>
      <c r="B108" s="490"/>
      <c r="C108" s="490"/>
      <c r="D108" s="490"/>
      <c r="E108" s="490"/>
      <c r="F108" s="490"/>
      <c r="G108" s="490"/>
      <c r="H108" s="490"/>
      <c r="I108" s="491"/>
      <c r="J108" s="4">
        <v>172</v>
      </c>
      <c r="K108" s="241">
        <v>0</v>
      </c>
      <c r="L108" s="241">
        <v>0</v>
      </c>
    </row>
    <row r="109" spans="1:12" s="3" customFormat="1" ht="13.5" customHeight="1">
      <c r="A109" s="492" t="s">
        <v>599</v>
      </c>
      <c r="B109" s="490"/>
      <c r="C109" s="490"/>
      <c r="D109" s="490"/>
      <c r="E109" s="490"/>
      <c r="F109" s="490"/>
      <c r="G109" s="490"/>
      <c r="H109" s="490"/>
      <c r="I109" s="491"/>
      <c r="J109" s="4">
        <v>173</v>
      </c>
      <c r="K109" s="241">
        <v>0</v>
      </c>
      <c r="L109" s="241">
        <v>0</v>
      </c>
    </row>
    <row r="110" spans="1:12" s="3" customFormat="1" ht="13.5" customHeight="1">
      <c r="A110" s="489" t="s">
        <v>4</v>
      </c>
      <c r="B110" s="490"/>
      <c r="C110" s="490"/>
      <c r="D110" s="490"/>
      <c r="E110" s="490"/>
      <c r="F110" s="490"/>
      <c r="G110" s="490"/>
      <c r="H110" s="490"/>
      <c r="I110" s="491"/>
      <c r="J110" s="4">
        <v>174</v>
      </c>
      <c r="K110" s="241">
        <v>0</v>
      </c>
      <c r="L110" s="241">
        <v>0</v>
      </c>
    </row>
    <row r="111" spans="1:12" s="3" customFormat="1" ht="13.5" customHeight="1">
      <c r="A111" s="489" t="s">
        <v>5</v>
      </c>
      <c r="B111" s="490"/>
      <c r="C111" s="490"/>
      <c r="D111" s="490"/>
      <c r="E111" s="490"/>
      <c r="F111" s="490"/>
      <c r="G111" s="490"/>
      <c r="H111" s="490"/>
      <c r="I111" s="491"/>
      <c r="J111" s="4">
        <v>175</v>
      </c>
      <c r="K111" s="241">
        <v>0</v>
      </c>
      <c r="L111" s="241">
        <v>0</v>
      </c>
    </row>
    <row r="112" spans="1:12" s="3" customFormat="1" ht="13.5" customHeight="1">
      <c r="A112" s="489" t="s">
        <v>6</v>
      </c>
      <c r="B112" s="490"/>
      <c r="C112" s="490"/>
      <c r="D112" s="490"/>
      <c r="E112" s="490"/>
      <c r="F112" s="490"/>
      <c r="G112" s="490"/>
      <c r="H112" s="490"/>
      <c r="I112" s="491"/>
      <c r="J112" s="4">
        <v>176</v>
      </c>
      <c r="K112" s="241">
        <v>0</v>
      </c>
      <c r="L112" s="241">
        <v>0</v>
      </c>
    </row>
    <row r="113" spans="1:12" s="3" customFormat="1" ht="13.5" customHeight="1">
      <c r="A113" s="489" t="s">
        <v>7</v>
      </c>
      <c r="B113" s="490"/>
      <c r="C113" s="490"/>
      <c r="D113" s="490"/>
      <c r="E113" s="490"/>
      <c r="F113" s="490"/>
      <c r="G113" s="490"/>
      <c r="H113" s="490"/>
      <c r="I113" s="491"/>
      <c r="J113" s="4">
        <v>177</v>
      </c>
      <c r="K113" s="241">
        <v>0</v>
      </c>
      <c r="L113" s="241">
        <v>0</v>
      </c>
    </row>
    <row r="114" spans="1:12" s="3" customFormat="1" ht="13.5" customHeight="1">
      <c r="A114" s="489" t="s">
        <v>8</v>
      </c>
      <c r="B114" s="490"/>
      <c r="C114" s="490"/>
      <c r="D114" s="490"/>
      <c r="E114" s="490"/>
      <c r="F114" s="490"/>
      <c r="G114" s="490"/>
      <c r="H114" s="490"/>
      <c r="I114" s="491"/>
      <c r="J114" s="4">
        <v>178</v>
      </c>
      <c r="K114" s="241">
        <v>0</v>
      </c>
      <c r="L114" s="241">
        <v>0</v>
      </c>
    </row>
    <row r="115" spans="1:12" s="3" customFormat="1" ht="24.75" customHeight="1">
      <c r="A115" s="489" t="s">
        <v>1484</v>
      </c>
      <c r="B115" s="490"/>
      <c r="C115" s="490"/>
      <c r="D115" s="490"/>
      <c r="E115" s="490"/>
      <c r="F115" s="490"/>
      <c r="G115" s="490"/>
      <c r="H115" s="490"/>
      <c r="I115" s="491"/>
      <c r="J115" s="4">
        <v>179</v>
      </c>
      <c r="K115" s="241">
        <v>0</v>
      </c>
      <c r="L115" s="241">
        <v>0</v>
      </c>
    </row>
    <row r="116" spans="1:12" s="3" customFormat="1" ht="13.5" customHeight="1">
      <c r="A116" s="489" t="s">
        <v>9</v>
      </c>
      <c r="B116" s="490"/>
      <c r="C116" s="490"/>
      <c r="D116" s="490"/>
      <c r="E116" s="490"/>
      <c r="F116" s="490"/>
      <c r="G116" s="490"/>
      <c r="H116" s="490"/>
      <c r="I116" s="491"/>
      <c r="J116" s="4">
        <v>180</v>
      </c>
      <c r="K116" s="241">
        <v>0</v>
      </c>
      <c r="L116" s="241">
        <v>0</v>
      </c>
    </row>
    <row r="117" spans="1:12" s="3" customFormat="1" ht="13.5" customHeight="1">
      <c r="A117" s="489" t="s">
        <v>10</v>
      </c>
      <c r="B117" s="490"/>
      <c r="C117" s="490"/>
      <c r="D117" s="490"/>
      <c r="E117" s="490"/>
      <c r="F117" s="490"/>
      <c r="G117" s="490"/>
      <c r="H117" s="490"/>
      <c r="I117" s="491"/>
      <c r="J117" s="4">
        <v>181</v>
      </c>
      <c r="K117" s="241">
        <v>0</v>
      </c>
      <c r="L117" s="241">
        <v>0</v>
      </c>
    </row>
    <row r="118" spans="1:12" s="3" customFormat="1" ht="13.5" customHeight="1">
      <c r="A118" s="489" t="s">
        <v>11</v>
      </c>
      <c r="B118" s="490"/>
      <c r="C118" s="490"/>
      <c r="D118" s="490"/>
      <c r="E118" s="490"/>
      <c r="F118" s="490"/>
      <c r="G118" s="490"/>
      <c r="H118" s="490"/>
      <c r="I118" s="491"/>
      <c r="J118" s="4">
        <v>182</v>
      </c>
      <c r="K118" s="241">
        <v>0</v>
      </c>
      <c r="L118" s="241">
        <v>0</v>
      </c>
    </row>
    <row r="119" spans="1:12" s="3" customFormat="1" ht="13.5" customHeight="1">
      <c r="A119" s="489" t="s">
        <v>12</v>
      </c>
      <c r="B119" s="490"/>
      <c r="C119" s="490"/>
      <c r="D119" s="490"/>
      <c r="E119" s="490"/>
      <c r="F119" s="490"/>
      <c r="G119" s="490"/>
      <c r="H119" s="490"/>
      <c r="I119" s="491"/>
      <c r="J119" s="4">
        <v>183</v>
      </c>
      <c r="K119" s="241">
        <v>0</v>
      </c>
      <c r="L119" s="241">
        <v>0</v>
      </c>
    </row>
    <row r="120" spans="1:12" s="3" customFormat="1" ht="13.5" customHeight="1">
      <c r="A120" s="489" t="s">
        <v>13</v>
      </c>
      <c r="B120" s="490"/>
      <c r="C120" s="490"/>
      <c r="D120" s="490"/>
      <c r="E120" s="490"/>
      <c r="F120" s="490"/>
      <c r="G120" s="490"/>
      <c r="H120" s="490"/>
      <c r="I120" s="491"/>
      <c r="J120" s="4">
        <v>184</v>
      </c>
      <c r="K120" s="241">
        <v>0</v>
      </c>
      <c r="L120" s="241">
        <v>0</v>
      </c>
    </row>
    <row r="121" spans="1:12" s="3" customFormat="1" ht="13.5" customHeight="1">
      <c r="A121" s="489" t="s">
        <v>14</v>
      </c>
      <c r="B121" s="490"/>
      <c r="C121" s="490"/>
      <c r="D121" s="490"/>
      <c r="E121" s="490"/>
      <c r="F121" s="490"/>
      <c r="G121" s="490"/>
      <c r="H121" s="490"/>
      <c r="I121" s="491"/>
      <c r="J121" s="4">
        <v>185</v>
      </c>
      <c r="K121" s="241">
        <v>0</v>
      </c>
      <c r="L121" s="241">
        <v>0</v>
      </c>
    </row>
    <row r="122" spans="1:12" s="3" customFormat="1" ht="13.5" customHeight="1">
      <c r="A122" s="489" t="s">
        <v>15</v>
      </c>
      <c r="B122" s="490"/>
      <c r="C122" s="490"/>
      <c r="D122" s="490"/>
      <c r="E122" s="490"/>
      <c r="F122" s="490"/>
      <c r="G122" s="490"/>
      <c r="H122" s="490"/>
      <c r="I122" s="491"/>
      <c r="J122" s="4">
        <v>186</v>
      </c>
      <c r="K122" s="241">
        <v>0</v>
      </c>
      <c r="L122" s="241">
        <v>0</v>
      </c>
    </row>
    <row r="123" spans="1:12" s="3" customFormat="1" ht="13.5" customHeight="1">
      <c r="A123" s="576" t="s">
        <v>16</v>
      </c>
      <c r="B123" s="577"/>
      <c r="C123" s="577"/>
      <c r="D123" s="577"/>
      <c r="E123" s="577"/>
      <c r="F123" s="577"/>
      <c r="G123" s="577"/>
      <c r="H123" s="577"/>
      <c r="I123" s="578"/>
      <c r="J123" s="8">
        <v>187</v>
      </c>
      <c r="K123" s="252">
        <f>SUM(K110:K122)</f>
        <v>0</v>
      </c>
      <c r="L123" s="252">
        <f>SUM(L110:L122)</f>
        <v>0</v>
      </c>
    </row>
    <row r="124" ht="4.5" customHeight="1"/>
  </sheetData>
  <sheetProtection password="C79A" sheet="1" objects="1"/>
  <mergeCells count="122">
    <mergeCell ref="A1:B2"/>
    <mergeCell ref="A12:I12"/>
    <mergeCell ref="A13:I13"/>
    <mergeCell ref="A14:I14"/>
    <mergeCell ref="A3:K3"/>
    <mergeCell ref="A4:K4"/>
    <mergeCell ref="A9:L9"/>
    <mergeCell ref="L3:L4"/>
    <mergeCell ref="A8:I8"/>
    <mergeCell ref="A6:L6"/>
    <mergeCell ref="A118:I118"/>
    <mergeCell ref="A119:I119"/>
    <mergeCell ref="A116:I116"/>
    <mergeCell ref="A117:I117"/>
    <mergeCell ref="A122:I122"/>
    <mergeCell ref="A123:I123"/>
    <mergeCell ref="A120:I120"/>
    <mergeCell ref="A121:I121"/>
    <mergeCell ref="A110:I110"/>
    <mergeCell ref="A111:I111"/>
    <mergeCell ref="A108:I108"/>
    <mergeCell ref="A109:I109"/>
    <mergeCell ref="A114:I114"/>
    <mergeCell ref="A115:I115"/>
    <mergeCell ref="A112:I112"/>
    <mergeCell ref="A113:I113"/>
    <mergeCell ref="A102:I102"/>
    <mergeCell ref="A103:I103"/>
    <mergeCell ref="A100:I100"/>
    <mergeCell ref="A101:I101"/>
    <mergeCell ref="A106:I106"/>
    <mergeCell ref="A107:I107"/>
    <mergeCell ref="A104:I104"/>
    <mergeCell ref="A105:I105"/>
    <mergeCell ref="A94:I94"/>
    <mergeCell ref="A95:I95"/>
    <mergeCell ref="A92:I92"/>
    <mergeCell ref="A93:I93"/>
    <mergeCell ref="A98:I98"/>
    <mergeCell ref="A99:I99"/>
    <mergeCell ref="A96:I96"/>
    <mergeCell ref="A97:I97"/>
    <mergeCell ref="A86:I86"/>
    <mergeCell ref="A87:I87"/>
    <mergeCell ref="A84:I84"/>
    <mergeCell ref="A85:I85"/>
    <mergeCell ref="A90:I90"/>
    <mergeCell ref="A91:I91"/>
    <mergeCell ref="A88:I88"/>
    <mergeCell ref="A89:I89"/>
    <mergeCell ref="A79:I79"/>
    <mergeCell ref="A76:I76"/>
    <mergeCell ref="A77:I77"/>
    <mergeCell ref="A82:I82"/>
    <mergeCell ref="A83:I83"/>
    <mergeCell ref="A80:I80"/>
    <mergeCell ref="A81:I81"/>
    <mergeCell ref="A75:I75"/>
    <mergeCell ref="A73:I73"/>
    <mergeCell ref="A74:I74"/>
    <mergeCell ref="A71:I71"/>
    <mergeCell ref="A72:I72"/>
    <mergeCell ref="A78:I78"/>
    <mergeCell ref="A69:I69"/>
    <mergeCell ref="A70:I70"/>
    <mergeCell ref="A67:I67"/>
    <mergeCell ref="A68:I68"/>
    <mergeCell ref="A64:I64"/>
    <mergeCell ref="A30:I30"/>
    <mergeCell ref="A31:I31"/>
    <mergeCell ref="A32:I32"/>
    <mergeCell ref="A36:I36"/>
    <mergeCell ref="A65:I65"/>
    <mergeCell ref="A22:L22"/>
    <mergeCell ref="A23:I23"/>
    <mergeCell ref="A24:I24"/>
    <mergeCell ref="A25:I25"/>
    <mergeCell ref="A26:I26"/>
    <mergeCell ref="A27:I27"/>
    <mergeCell ref="A28:I28"/>
    <mergeCell ref="A29:I29"/>
    <mergeCell ref="A50:I50"/>
    <mergeCell ref="A33:I33"/>
    <mergeCell ref="A34:I34"/>
    <mergeCell ref="A35:I35"/>
    <mergeCell ref="A37:I37"/>
    <mergeCell ref="A38:I38"/>
    <mergeCell ref="A39:I39"/>
    <mergeCell ref="A48:I48"/>
    <mergeCell ref="A66:I66"/>
    <mergeCell ref="A40:I40"/>
    <mergeCell ref="A41:I41"/>
    <mergeCell ref="A42:I42"/>
    <mergeCell ref="A43:I43"/>
    <mergeCell ref="A44:I44"/>
    <mergeCell ref="A45:I45"/>
    <mergeCell ref="A46:I46"/>
    <mergeCell ref="A47:I47"/>
    <mergeCell ref="A57:I57"/>
    <mergeCell ref="A49:I49"/>
    <mergeCell ref="A59:I59"/>
    <mergeCell ref="A52:I52"/>
    <mergeCell ref="A53:I53"/>
    <mergeCell ref="A54:L54"/>
    <mergeCell ref="A55:I55"/>
    <mergeCell ref="A51:I51"/>
    <mergeCell ref="A20:I20"/>
    <mergeCell ref="A63:I63"/>
    <mergeCell ref="A17:I17"/>
    <mergeCell ref="A18:I18"/>
    <mergeCell ref="A60:I60"/>
    <mergeCell ref="A61:I61"/>
    <mergeCell ref="A62:I62"/>
    <mergeCell ref="A21:I21"/>
    <mergeCell ref="A56:I56"/>
    <mergeCell ref="A58:I58"/>
    <mergeCell ref="A7:I7"/>
    <mergeCell ref="A16:I16"/>
    <mergeCell ref="A10:I10"/>
    <mergeCell ref="A11:I11"/>
    <mergeCell ref="A15:I15"/>
    <mergeCell ref="A19:I19"/>
  </mergeCells>
  <dataValidations count="1">
    <dataValidation type="whole" operator="greaterThanOrEqual" allowBlank="1" showInputMessage="1" showErrorMessage="1" errorTitle="Pogrešan unos" error="Mogu se unijeti samo cjelobrojne pozitivne vrijednosti." sqref="K45:L48 K56:L61 K105:L122 K100:L102 K93:L98 K86:L91 K81:L84 K74:L79 K67:L72 K63:L65 K50:L53 K23:L40 K10:L19">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pageMargins left="0.5511811023622047" right="0.5511811023622047" top="0.7874015748031497" bottom="0.7874015748031497" header="0.5905511811023623" footer="0.5905511811023623"/>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P53"/>
  <sheetViews>
    <sheetView showGridLines="0" showRowColHeaders="0" zoomScalePageLayoutView="0" workbookViewId="0" topLeftCell="A1">
      <pane ySplit="8" topLeftCell="A9" activePane="bottomLeft" state="frozen"/>
      <selection pane="topLeft" activeCell="A1" sqref="A1"/>
      <selection pane="bottomLeft" activeCell="L44" sqref="L44"/>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4" width="3.421875" style="0" hidden="1" customWidth="1"/>
    <col min="15" max="16384" width="0" style="0" hidden="1" customWidth="1"/>
  </cols>
  <sheetData>
    <row r="1" spans="1:16" ht="19.5" customHeight="1">
      <c r="A1" s="320" t="s">
        <v>1801</v>
      </c>
      <c r="B1" s="321"/>
      <c r="C1" s="88" t="s">
        <v>396</v>
      </c>
      <c r="D1" s="85" t="s">
        <v>1802</v>
      </c>
      <c r="E1" s="85" t="s">
        <v>305</v>
      </c>
      <c r="F1" s="106" t="s">
        <v>1792</v>
      </c>
      <c r="G1" s="85" t="s">
        <v>397</v>
      </c>
      <c r="H1" s="106" t="s">
        <v>398</v>
      </c>
      <c r="I1" s="85" t="s">
        <v>306</v>
      </c>
      <c r="J1" s="86" t="s">
        <v>399</v>
      </c>
      <c r="K1" s="3"/>
      <c r="L1" s="3"/>
      <c r="O1" s="176">
        <f>IF(SUM(K10:L53)&lt;&gt;0,1,0)</f>
        <v>1</v>
      </c>
      <c r="P1" s="176">
        <f>IF(SUM(K10:K53)&lt;&gt;0,1,0)</f>
        <v>1</v>
      </c>
    </row>
    <row r="2" spans="1:16" s="3" customFormat="1" ht="19.5" customHeight="1" thickBot="1">
      <c r="A2" s="322"/>
      <c r="B2" s="323"/>
      <c r="C2" s="89" t="s">
        <v>1803</v>
      </c>
      <c r="D2" s="90" t="s">
        <v>308</v>
      </c>
      <c r="E2" s="90" t="s">
        <v>1804</v>
      </c>
      <c r="F2" s="90" t="s">
        <v>307</v>
      </c>
      <c r="G2" s="90" t="s">
        <v>401</v>
      </c>
      <c r="H2" s="91" t="s">
        <v>402</v>
      </c>
      <c r="I2" s="87"/>
      <c r="J2" s="87"/>
      <c r="O2" s="177"/>
      <c r="P2" s="178">
        <f>IF(SUM(L10:L53)&lt;&gt;0,1,0)</f>
        <v>1</v>
      </c>
    </row>
    <row r="3" spans="1:12" s="3" customFormat="1" ht="19.5" customHeight="1">
      <c r="A3" s="579" t="s">
        <v>1278</v>
      </c>
      <c r="B3" s="580"/>
      <c r="C3" s="580"/>
      <c r="D3" s="580"/>
      <c r="E3" s="580"/>
      <c r="F3" s="580"/>
      <c r="G3" s="580"/>
      <c r="H3" s="580"/>
      <c r="I3" s="580"/>
      <c r="J3" s="580"/>
      <c r="K3" s="581"/>
      <c r="L3" s="495" t="s">
        <v>2247</v>
      </c>
    </row>
    <row r="4" spans="1:12" s="3" customFormat="1" ht="19.5" customHeight="1" thickBot="1">
      <c r="A4" s="582" t="str">
        <f>"u razdoblju "&amp;IF(Opci!E5&lt;&gt;"",TEXT(Opci!E5,"DD.MM.YYYY."),"__.__.____.")&amp;" do "&amp;IF(Opci!H5&lt;&gt;"",TEXT(Opci!H5,"DD.MM.YYYY."),"__.__.____.")</f>
        <v>u razdoblju 01.01.2013. do 31.12.2013.</v>
      </c>
      <c r="B4" s="583"/>
      <c r="C4" s="583"/>
      <c r="D4" s="583"/>
      <c r="E4" s="583"/>
      <c r="F4" s="583"/>
      <c r="G4" s="583"/>
      <c r="H4" s="583"/>
      <c r="I4" s="583"/>
      <c r="J4" s="583"/>
      <c r="K4" s="581"/>
      <c r="L4" s="586"/>
    </row>
    <row r="5" spans="1:12" s="3" customFormat="1" ht="4.5" customHeight="1">
      <c r="A5" s="58"/>
      <c r="B5" s="42"/>
      <c r="C5" s="42"/>
      <c r="D5" s="42"/>
      <c r="E5" s="42"/>
      <c r="F5" s="42"/>
      <c r="G5" s="42"/>
      <c r="H5" s="42"/>
      <c r="I5" s="42"/>
      <c r="J5" s="42"/>
      <c r="K5" s="40"/>
      <c r="L5" s="181"/>
    </row>
    <row r="6" spans="1:12" s="3" customFormat="1" ht="19.5" customHeight="1">
      <c r="A6" s="621" t="str">
        <f>"Obveznik: "&amp;IF(Opci!C23&lt;&gt;"",Opci!C23,"________")&amp;"; "&amp;IF(Opci!C25&lt;&gt;"",Opci!C25,"_____________________________________________________________"&amp;"; "&amp;IF(Opci!F27&lt;&gt;"",Opci!F27,"_______________"))</f>
        <v>Obveznik: 32247795989; CROATIA BANKA d.d.</v>
      </c>
      <c r="B6" s="622"/>
      <c r="C6" s="622"/>
      <c r="D6" s="622"/>
      <c r="E6" s="622"/>
      <c r="F6" s="622"/>
      <c r="G6" s="622"/>
      <c r="H6" s="622"/>
      <c r="I6" s="622"/>
      <c r="J6" s="622"/>
      <c r="K6" s="622"/>
      <c r="L6" s="623"/>
    </row>
    <row r="7" spans="1:12" s="3" customFormat="1" ht="24.75" customHeight="1" thickBot="1">
      <c r="A7" s="556" t="s">
        <v>2059</v>
      </c>
      <c r="B7" s="556"/>
      <c r="C7" s="556"/>
      <c r="D7" s="556"/>
      <c r="E7" s="556"/>
      <c r="F7" s="556"/>
      <c r="G7" s="556"/>
      <c r="H7" s="556"/>
      <c r="I7" s="95" t="s">
        <v>405</v>
      </c>
      <c r="J7" s="99" t="s">
        <v>406</v>
      </c>
      <c r="K7" s="96" t="s">
        <v>272</v>
      </c>
      <c r="L7" s="96" t="s">
        <v>273</v>
      </c>
    </row>
    <row r="8" spans="1:12" s="3" customFormat="1" ht="13.5" customHeight="1">
      <c r="A8" s="587">
        <v>1</v>
      </c>
      <c r="B8" s="587"/>
      <c r="C8" s="587"/>
      <c r="D8" s="587"/>
      <c r="E8" s="587"/>
      <c r="F8" s="587"/>
      <c r="G8" s="587"/>
      <c r="H8" s="587"/>
      <c r="I8" s="98">
        <v>2</v>
      </c>
      <c r="J8" s="117">
        <v>3</v>
      </c>
      <c r="K8" s="115">
        <v>4</v>
      </c>
      <c r="L8" s="115">
        <v>5</v>
      </c>
    </row>
    <row r="9" spans="1:12" s="3" customFormat="1" ht="13.5" customHeight="1">
      <c r="A9" s="599" t="s">
        <v>1177</v>
      </c>
      <c r="B9" s="600"/>
      <c r="C9" s="600"/>
      <c r="D9" s="600"/>
      <c r="E9" s="600"/>
      <c r="F9" s="600"/>
      <c r="G9" s="600"/>
      <c r="H9" s="600"/>
      <c r="I9" s="601"/>
      <c r="J9" s="601"/>
      <c r="K9" s="601"/>
      <c r="L9" s="603"/>
    </row>
    <row r="10" spans="1:12" s="3" customFormat="1" ht="24.75" customHeight="1">
      <c r="A10" s="618" t="s">
        <v>2248</v>
      </c>
      <c r="B10" s="619"/>
      <c r="C10" s="619"/>
      <c r="D10" s="619"/>
      <c r="E10" s="619"/>
      <c r="F10" s="619"/>
      <c r="G10" s="619"/>
      <c r="H10" s="620"/>
      <c r="I10" s="4">
        <v>1</v>
      </c>
      <c r="J10" s="260"/>
      <c r="K10" s="263">
        <f>SUM(K11:K16)</f>
        <v>-181508840</v>
      </c>
      <c r="L10" s="263">
        <f>SUM(L11:L16)</f>
        <v>-10064158</v>
      </c>
    </row>
    <row r="11" spans="1:12" s="3" customFormat="1" ht="13.5" customHeight="1">
      <c r="A11" s="595" t="s">
        <v>1178</v>
      </c>
      <c r="B11" s="613"/>
      <c r="C11" s="613"/>
      <c r="D11" s="613"/>
      <c r="E11" s="613"/>
      <c r="F11" s="613"/>
      <c r="G11" s="613"/>
      <c r="H11" s="614"/>
      <c r="I11" s="4">
        <v>2</v>
      </c>
      <c r="J11" s="261"/>
      <c r="K11" s="255">
        <v>-126362324</v>
      </c>
      <c r="L11" s="255">
        <v>-24644460</v>
      </c>
    </row>
    <row r="12" spans="1:12" s="3" customFormat="1" ht="13.5" customHeight="1">
      <c r="A12" s="595" t="s">
        <v>1179</v>
      </c>
      <c r="B12" s="613"/>
      <c r="C12" s="613"/>
      <c r="D12" s="613"/>
      <c r="E12" s="613"/>
      <c r="F12" s="613"/>
      <c r="G12" s="613"/>
      <c r="H12" s="614"/>
      <c r="I12" s="4">
        <v>3</v>
      </c>
      <c r="J12" s="261"/>
      <c r="K12" s="255">
        <v>0</v>
      </c>
      <c r="L12" s="255">
        <v>16255881</v>
      </c>
    </row>
    <row r="13" spans="1:12" s="3" customFormat="1" ht="13.5" customHeight="1">
      <c r="A13" s="595" t="s">
        <v>1180</v>
      </c>
      <c r="B13" s="613"/>
      <c r="C13" s="613"/>
      <c r="D13" s="613"/>
      <c r="E13" s="613"/>
      <c r="F13" s="613"/>
      <c r="G13" s="613"/>
      <c r="H13" s="614"/>
      <c r="I13" s="4">
        <v>4</v>
      </c>
      <c r="J13" s="261"/>
      <c r="K13" s="255">
        <v>5562317</v>
      </c>
      <c r="L13" s="255">
        <v>4484396</v>
      </c>
    </row>
    <row r="14" spans="1:12" s="3" customFormat="1" ht="24.75" customHeight="1">
      <c r="A14" s="595" t="s">
        <v>1181</v>
      </c>
      <c r="B14" s="613"/>
      <c r="C14" s="613"/>
      <c r="D14" s="613"/>
      <c r="E14" s="613"/>
      <c r="F14" s="613"/>
      <c r="G14" s="613"/>
      <c r="H14" s="614"/>
      <c r="I14" s="4">
        <v>5</v>
      </c>
      <c r="J14" s="261"/>
      <c r="K14" s="255">
        <v>6835445</v>
      </c>
      <c r="L14" s="255">
        <v>-566113</v>
      </c>
    </row>
    <row r="15" spans="1:12" s="3" customFormat="1" ht="13.5" customHeight="1">
      <c r="A15" s="595" t="s">
        <v>1515</v>
      </c>
      <c r="B15" s="613"/>
      <c r="C15" s="613"/>
      <c r="D15" s="613"/>
      <c r="E15" s="613"/>
      <c r="F15" s="613"/>
      <c r="G15" s="613"/>
      <c r="H15" s="614"/>
      <c r="I15" s="4">
        <v>6</v>
      </c>
      <c r="J15" s="261"/>
      <c r="K15" s="255">
        <v>0</v>
      </c>
      <c r="L15" s="255">
        <v>-5593862</v>
      </c>
    </row>
    <row r="16" spans="1:12" s="3" customFormat="1" ht="13.5" customHeight="1">
      <c r="A16" s="595" t="s">
        <v>1516</v>
      </c>
      <c r="B16" s="613"/>
      <c r="C16" s="613"/>
      <c r="D16" s="613"/>
      <c r="E16" s="613"/>
      <c r="F16" s="613"/>
      <c r="G16" s="613"/>
      <c r="H16" s="614"/>
      <c r="I16" s="4">
        <v>7</v>
      </c>
      <c r="J16" s="261"/>
      <c r="K16" s="255">
        <v>-67544278</v>
      </c>
      <c r="L16" s="255">
        <v>0</v>
      </c>
    </row>
    <row r="17" spans="1:12" s="3" customFormat="1" ht="13.5" customHeight="1">
      <c r="A17" s="598" t="s">
        <v>1182</v>
      </c>
      <c r="B17" s="613"/>
      <c r="C17" s="613"/>
      <c r="D17" s="613"/>
      <c r="E17" s="613"/>
      <c r="F17" s="613"/>
      <c r="G17" s="613"/>
      <c r="H17" s="614"/>
      <c r="I17" s="4">
        <v>8</v>
      </c>
      <c r="J17" s="261"/>
      <c r="K17" s="256">
        <f>SUM(K18:K25)</f>
        <v>119117467</v>
      </c>
      <c r="L17" s="256">
        <f>SUM(L18:L25)</f>
        <v>-601564840</v>
      </c>
    </row>
    <row r="18" spans="1:12" s="3" customFormat="1" ht="13.5" customHeight="1">
      <c r="A18" s="595" t="s">
        <v>1183</v>
      </c>
      <c r="B18" s="613"/>
      <c r="C18" s="613"/>
      <c r="D18" s="613"/>
      <c r="E18" s="613"/>
      <c r="F18" s="613"/>
      <c r="G18" s="613"/>
      <c r="H18" s="614"/>
      <c r="I18" s="4">
        <v>9</v>
      </c>
      <c r="J18" s="261"/>
      <c r="K18" s="255">
        <v>-42166552</v>
      </c>
      <c r="L18" s="255">
        <v>-63496575</v>
      </c>
    </row>
    <row r="19" spans="1:12" s="3" customFormat="1" ht="13.5" customHeight="1">
      <c r="A19" s="595" t="s">
        <v>1184</v>
      </c>
      <c r="B19" s="613"/>
      <c r="C19" s="613"/>
      <c r="D19" s="613"/>
      <c r="E19" s="613"/>
      <c r="F19" s="613"/>
      <c r="G19" s="613"/>
      <c r="H19" s="614"/>
      <c r="I19" s="4">
        <v>10</v>
      </c>
      <c r="J19" s="261"/>
      <c r="K19" s="255">
        <v>13091841</v>
      </c>
      <c r="L19" s="255">
        <v>56289497</v>
      </c>
    </row>
    <row r="20" spans="1:12" s="3" customFormat="1" ht="13.5" customHeight="1">
      <c r="A20" s="595" t="s">
        <v>1185</v>
      </c>
      <c r="B20" s="613"/>
      <c r="C20" s="613"/>
      <c r="D20" s="613"/>
      <c r="E20" s="613"/>
      <c r="F20" s="613"/>
      <c r="G20" s="613"/>
      <c r="H20" s="614"/>
      <c r="I20" s="4">
        <v>11</v>
      </c>
      <c r="J20" s="261"/>
      <c r="K20" s="255">
        <v>-59037293</v>
      </c>
      <c r="L20" s="255">
        <v>-41788649</v>
      </c>
    </row>
    <row r="21" spans="1:12" s="3" customFormat="1" ht="13.5" customHeight="1">
      <c r="A21" s="595" t="s">
        <v>1186</v>
      </c>
      <c r="B21" s="613"/>
      <c r="C21" s="613"/>
      <c r="D21" s="613"/>
      <c r="E21" s="613"/>
      <c r="F21" s="613"/>
      <c r="G21" s="613"/>
      <c r="H21" s="614"/>
      <c r="I21" s="4">
        <v>12</v>
      </c>
      <c r="J21" s="261"/>
      <c r="K21" s="255">
        <v>57983000</v>
      </c>
      <c r="L21" s="255">
        <v>-597473402</v>
      </c>
    </row>
    <row r="22" spans="1:12" s="3" customFormat="1" ht="24.75" customHeight="1">
      <c r="A22" s="595" t="s">
        <v>1517</v>
      </c>
      <c r="B22" s="613"/>
      <c r="C22" s="613"/>
      <c r="D22" s="613"/>
      <c r="E22" s="613"/>
      <c r="F22" s="613"/>
      <c r="G22" s="613"/>
      <c r="H22" s="614"/>
      <c r="I22" s="4">
        <v>13</v>
      </c>
      <c r="J22" s="261"/>
      <c r="K22" s="255">
        <v>0</v>
      </c>
      <c r="L22" s="255">
        <v>-5081354</v>
      </c>
    </row>
    <row r="23" spans="1:12" s="3" customFormat="1" ht="15" customHeight="1">
      <c r="A23" s="595" t="s">
        <v>914</v>
      </c>
      <c r="B23" s="613"/>
      <c r="C23" s="613"/>
      <c r="D23" s="613"/>
      <c r="E23" s="613"/>
      <c r="F23" s="613"/>
      <c r="G23" s="613"/>
      <c r="H23" s="614"/>
      <c r="I23" s="4">
        <v>14</v>
      </c>
      <c r="J23" s="261"/>
      <c r="K23" s="255">
        <v>147259767</v>
      </c>
      <c r="L23" s="255">
        <v>47165529</v>
      </c>
    </row>
    <row r="24" spans="1:12" s="3" customFormat="1" ht="24.75" customHeight="1">
      <c r="A24" s="615" t="s">
        <v>1518</v>
      </c>
      <c r="B24" s="616"/>
      <c r="C24" s="616"/>
      <c r="D24" s="616"/>
      <c r="E24" s="616"/>
      <c r="F24" s="616"/>
      <c r="G24" s="616"/>
      <c r="H24" s="617"/>
      <c r="I24" s="4">
        <v>15</v>
      </c>
      <c r="J24" s="261"/>
      <c r="K24" s="255">
        <v>0</v>
      </c>
      <c r="L24" s="255">
        <v>0</v>
      </c>
    </row>
    <row r="25" spans="1:12" s="3" customFormat="1" ht="13.5" customHeight="1">
      <c r="A25" s="595" t="s">
        <v>1187</v>
      </c>
      <c r="B25" s="596"/>
      <c r="C25" s="596"/>
      <c r="D25" s="596"/>
      <c r="E25" s="596"/>
      <c r="F25" s="596"/>
      <c r="G25" s="596"/>
      <c r="H25" s="597"/>
      <c r="I25" s="4">
        <v>16</v>
      </c>
      <c r="J25" s="261"/>
      <c r="K25" s="255">
        <v>1986704</v>
      </c>
      <c r="L25" s="255">
        <v>2820114</v>
      </c>
    </row>
    <row r="26" spans="1:12" s="3" customFormat="1" ht="13.5" customHeight="1">
      <c r="A26" s="598" t="s">
        <v>1188</v>
      </c>
      <c r="B26" s="596"/>
      <c r="C26" s="596"/>
      <c r="D26" s="596"/>
      <c r="E26" s="596"/>
      <c r="F26" s="596"/>
      <c r="G26" s="596"/>
      <c r="H26" s="597"/>
      <c r="I26" s="4">
        <v>17</v>
      </c>
      <c r="J26" s="261"/>
      <c r="K26" s="256">
        <f>SUM(K27:K30)</f>
        <v>-8300523</v>
      </c>
      <c r="L26" s="256">
        <f>SUM(L27:L30)</f>
        <v>647931447</v>
      </c>
    </row>
    <row r="27" spans="1:12" s="3" customFormat="1" ht="13.5" customHeight="1">
      <c r="A27" s="595" t="s">
        <v>1189</v>
      </c>
      <c r="B27" s="596"/>
      <c r="C27" s="596"/>
      <c r="D27" s="596"/>
      <c r="E27" s="596"/>
      <c r="F27" s="596"/>
      <c r="G27" s="596"/>
      <c r="H27" s="597"/>
      <c r="I27" s="4">
        <v>18</v>
      </c>
      <c r="J27" s="261"/>
      <c r="K27" s="255">
        <v>39865924</v>
      </c>
      <c r="L27" s="255">
        <v>27197832</v>
      </c>
    </row>
    <row r="28" spans="1:12" s="3" customFormat="1" ht="13.5" customHeight="1">
      <c r="A28" s="595" t="s">
        <v>1190</v>
      </c>
      <c r="B28" s="596"/>
      <c r="C28" s="596"/>
      <c r="D28" s="596"/>
      <c r="E28" s="596"/>
      <c r="F28" s="596"/>
      <c r="G28" s="596"/>
      <c r="H28" s="597"/>
      <c r="I28" s="4">
        <v>19</v>
      </c>
      <c r="J28" s="261"/>
      <c r="K28" s="255">
        <v>104215559</v>
      </c>
      <c r="L28" s="255">
        <v>584039266</v>
      </c>
    </row>
    <row r="29" spans="1:12" s="3" customFormat="1" ht="13.5" customHeight="1">
      <c r="A29" s="595" t="s">
        <v>1191</v>
      </c>
      <c r="B29" s="596"/>
      <c r="C29" s="596"/>
      <c r="D29" s="596"/>
      <c r="E29" s="596"/>
      <c r="F29" s="596"/>
      <c r="G29" s="596"/>
      <c r="H29" s="597"/>
      <c r="I29" s="4">
        <v>20</v>
      </c>
      <c r="J29" s="261"/>
      <c r="K29" s="255">
        <v>53528</v>
      </c>
      <c r="L29" s="255">
        <v>0</v>
      </c>
    </row>
    <row r="30" spans="1:12" s="3" customFormat="1" ht="13.5" customHeight="1">
      <c r="A30" s="595" t="s">
        <v>1192</v>
      </c>
      <c r="B30" s="596"/>
      <c r="C30" s="596"/>
      <c r="D30" s="596"/>
      <c r="E30" s="596"/>
      <c r="F30" s="596"/>
      <c r="G30" s="596"/>
      <c r="H30" s="597"/>
      <c r="I30" s="4">
        <v>21</v>
      </c>
      <c r="J30" s="261"/>
      <c r="K30" s="255">
        <v>-152435534</v>
      </c>
      <c r="L30" s="255">
        <v>36694349</v>
      </c>
    </row>
    <row r="31" spans="1:12" s="3" customFormat="1" ht="24.75" customHeight="1">
      <c r="A31" s="598" t="s">
        <v>1194</v>
      </c>
      <c r="B31" s="596"/>
      <c r="C31" s="596"/>
      <c r="D31" s="596"/>
      <c r="E31" s="596"/>
      <c r="F31" s="596"/>
      <c r="G31" s="596"/>
      <c r="H31" s="597"/>
      <c r="I31" s="4">
        <v>22</v>
      </c>
      <c r="J31" s="261"/>
      <c r="K31" s="256">
        <f>K10+K17+K26</f>
        <v>-70691896</v>
      </c>
      <c r="L31" s="256">
        <f>L10+L17+L26</f>
        <v>36302449</v>
      </c>
    </row>
    <row r="32" spans="1:12" s="3" customFormat="1" ht="13.5" customHeight="1">
      <c r="A32" s="607" t="s">
        <v>1193</v>
      </c>
      <c r="B32" s="608"/>
      <c r="C32" s="608"/>
      <c r="D32" s="608"/>
      <c r="E32" s="608"/>
      <c r="F32" s="608"/>
      <c r="G32" s="608"/>
      <c r="H32" s="609"/>
      <c r="I32" s="4">
        <v>23</v>
      </c>
      <c r="J32" s="261"/>
      <c r="K32" s="255"/>
      <c r="L32" s="255"/>
    </row>
    <row r="33" spans="1:12" s="3" customFormat="1" ht="13.5" customHeight="1">
      <c r="A33" s="610" t="s">
        <v>707</v>
      </c>
      <c r="B33" s="611"/>
      <c r="C33" s="611"/>
      <c r="D33" s="611"/>
      <c r="E33" s="611"/>
      <c r="F33" s="611"/>
      <c r="G33" s="611"/>
      <c r="H33" s="612"/>
      <c r="I33" s="4">
        <v>24</v>
      </c>
      <c r="J33" s="262"/>
      <c r="K33" s="258">
        <f>K31+K32</f>
        <v>-70691896</v>
      </c>
      <c r="L33" s="258">
        <f>L31+L32</f>
        <v>36302449</v>
      </c>
    </row>
    <row r="34" spans="1:12" s="3" customFormat="1" ht="13.5" customHeight="1">
      <c r="A34" s="599" t="s">
        <v>1195</v>
      </c>
      <c r="B34" s="600"/>
      <c r="C34" s="600"/>
      <c r="D34" s="600"/>
      <c r="E34" s="600"/>
      <c r="F34" s="600"/>
      <c r="G34" s="600"/>
      <c r="H34" s="600"/>
      <c r="I34" s="601"/>
      <c r="J34" s="602"/>
      <c r="K34" s="601"/>
      <c r="L34" s="603"/>
    </row>
    <row r="35" spans="1:12" s="3" customFormat="1" ht="13.5" customHeight="1">
      <c r="A35" s="604" t="s">
        <v>2229</v>
      </c>
      <c r="B35" s="605"/>
      <c r="C35" s="605"/>
      <c r="D35" s="605"/>
      <c r="E35" s="605"/>
      <c r="F35" s="605"/>
      <c r="G35" s="605"/>
      <c r="H35" s="606"/>
      <c r="I35" s="4">
        <v>25</v>
      </c>
      <c r="J35" s="260"/>
      <c r="K35" s="263">
        <f>SUM(K36:K40)</f>
        <v>-163023606</v>
      </c>
      <c r="L35" s="263">
        <f>SUM(L36:L40)</f>
        <v>4254736</v>
      </c>
    </row>
    <row r="36" spans="1:12" s="3" customFormat="1" ht="24.75" customHeight="1">
      <c r="A36" s="595" t="s">
        <v>2246</v>
      </c>
      <c r="B36" s="596"/>
      <c r="C36" s="596"/>
      <c r="D36" s="596"/>
      <c r="E36" s="596"/>
      <c r="F36" s="596"/>
      <c r="G36" s="596"/>
      <c r="H36" s="597"/>
      <c r="I36" s="4">
        <v>26</v>
      </c>
      <c r="J36" s="261"/>
      <c r="K36" s="255">
        <v>0</v>
      </c>
      <c r="L36" s="255">
        <v>7549265</v>
      </c>
    </row>
    <row r="37" spans="1:12" s="3" customFormat="1" ht="24.75" customHeight="1">
      <c r="A37" s="595" t="s">
        <v>2230</v>
      </c>
      <c r="B37" s="596"/>
      <c r="C37" s="596"/>
      <c r="D37" s="596"/>
      <c r="E37" s="596"/>
      <c r="F37" s="596"/>
      <c r="G37" s="596"/>
      <c r="H37" s="597"/>
      <c r="I37" s="4">
        <v>27</v>
      </c>
      <c r="J37" s="261"/>
      <c r="K37" s="255">
        <v>0</v>
      </c>
      <c r="L37" s="255">
        <v>0</v>
      </c>
    </row>
    <row r="38" spans="1:12" s="3" customFormat="1" ht="24.75" customHeight="1">
      <c r="A38" s="595" t="s">
        <v>2231</v>
      </c>
      <c r="B38" s="596"/>
      <c r="C38" s="596"/>
      <c r="D38" s="596"/>
      <c r="E38" s="596"/>
      <c r="F38" s="596"/>
      <c r="G38" s="596"/>
      <c r="H38" s="597"/>
      <c r="I38" s="4">
        <v>28</v>
      </c>
      <c r="J38" s="261"/>
      <c r="K38" s="255">
        <v>0</v>
      </c>
      <c r="L38" s="255">
        <v>397477</v>
      </c>
    </row>
    <row r="39" spans="1:12" s="3" customFormat="1" ht="13.5" customHeight="1">
      <c r="A39" s="595" t="s">
        <v>2232</v>
      </c>
      <c r="B39" s="596"/>
      <c r="C39" s="596"/>
      <c r="D39" s="596"/>
      <c r="E39" s="596"/>
      <c r="F39" s="596"/>
      <c r="G39" s="596"/>
      <c r="H39" s="597"/>
      <c r="I39" s="4">
        <v>29</v>
      </c>
      <c r="J39" s="261"/>
      <c r="K39" s="255">
        <v>90894</v>
      </c>
      <c r="L39" s="255">
        <v>0</v>
      </c>
    </row>
    <row r="40" spans="1:12" s="3" customFormat="1" ht="13.5" customHeight="1">
      <c r="A40" s="595" t="s">
        <v>2233</v>
      </c>
      <c r="B40" s="596"/>
      <c r="C40" s="596"/>
      <c r="D40" s="596"/>
      <c r="E40" s="596"/>
      <c r="F40" s="596"/>
      <c r="G40" s="596"/>
      <c r="H40" s="597"/>
      <c r="I40" s="4">
        <v>30</v>
      </c>
      <c r="J40" s="262"/>
      <c r="K40" s="257">
        <v>-163114500</v>
      </c>
      <c r="L40" s="257">
        <v>-3692006</v>
      </c>
    </row>
    <row r="41" spans="1:12" s="3" customFormat="1" ht="13.5" customHeight="1">
      <c r="A41" s="599" t="s">
        <v>2234</v>
      </c>
      <c r="B41" s="600"/>
      <c r="C41" s="600"/>
      <c r="D41" s="600"/>
      <c r="E41" s="600"/>
      <c r="F41" s="600"/>
      <c r="G41" s="600"/>
      <c r="H41" s="600"/>
      <c r="I41" s="601"/>
      <c r="J41" s="602"/>
      <c r="K41" s="601"/>
      <c r="L41" s="603"/>
    </row>
    <row r="42" spans="1:12" s="3" customFormat="1" ht="13.5" customHeight="1">
      <c r="A42" s="604" t="s">
        <v>2241</v>
      </c>
      <c r="B42" s="605"/>
      <c r="C42" s="605"/>
      <c r="D42" s="605"/>
      <c r="E42" s="605"/>
      <c r="F42" s="605"/>
      <c r="G42" s="605"/>
      <c r="H42" s="606"/>
      <c r="I42" s="4">
        <v>31</v>
      </c>
      <c r="J42" s="260"/>
      <c r="K42" s="263">
        <f>SUM(K43:K48)</f>
        <v>101284653</v>
      </c>
      <c r="L42" s="263">
        <f>SUM(L43:L48)</f>
        <v>55246835</v>
      </c>
    </row>
    <row r="43" spans="1:12" s="3" customFormat="1" ht="13.5" customHeight="1">
      <c r="A43" s="595" t="s">
        <v>2235</v>
      </c>
      <c r="B43" s="596"/>
      <c r="C43" s="596"/>
      <c r="D43" s="596"/>
      <c r="E43" s="596"/>
      <c r="F43" s="596"/>
      <c r="G43" s="596"/>
      <c r="H43" s="597"/>
      <c r="I43" s="4">
        <v>32</v>
      </c>
      <c r="J43" s="261"/>
      <c r="K43" s="255">
        <v>-28715347</v>
      </c>
      <c r="L43" s="255">
        <v>55246835</v>
      </c>
    </row>
    <row r="44" spans="1:12" s="3" customFormat="1" ht="13.5" customHeight="1">
      <c r="A44" s="595" t="s">
        <v>2236</v>
      </c>
      <c r="B44" s="596"/>
      <c r="C44" s="596"/>
      <c r="D44" s="596"/>
      <c r="E44" s="596"/>
      <c r="F44" s="596"/>
      <c r="G44" s="596"/>
      <c r="H44" s="597"/>
      <c r="I44" s="4">
        <v>33</v>
      </c>
      <c r="J44" s="261"/>
      <c r="K44" s="255">
        <v>0</v>
      </c>
      <c r="L44" s="255">
        <v>0</v>
      </c>
    </row>
    <row r="45" spans="1:12" s="3" customFormat="1" ht="13.5" customHeight="1">
      <c r="A45" s="595" t="s">
        <v>2237</v>
      </c>
      <c r="B45" s="596"/>
      <c r="C45" s="596"/>
      <c r="D45" s="596"/>
      <c r="E45" s="596"/>
      <c r="F45" s="596"/>
      <c r="G45" s="596"/>
      <c r="H45" s="597"/>
      <c r="I45" s="4">
        <v>34</v>
      </c>
      <c r="J45" s="261"/>
      <c r="K45" s="255">
        <v>130000000</v>
      </c>
      <c r="L45" s="255">
        <v>0</v>
      </c>
    </row>
    <row r="46" spans="1:12" s="3" customFormat="1" ht="13.5" customHeight="1">
      <c r="A46" s="595" t="s">
        <v>2238</v>
      </c>
      <c r="B46" s="596"/>
      <c r="C46" s="596"/>
      <c r="D46" s="596"/>
      <c r="E46" s="596"/>
      <c r="F46" s="596"/>
      <c r="G46" s="596"/>
      <c r="H46" s="597"/>
      <c r="I46" s="4">
        <v>35</v>
      </c>
      <c r="J46" s="261"/>
      <c r="K46" s="255">
        <v>0</v>
      </c>
      <c r="L46" s="255">
        <v>0</v>
      </c>
    </row>
    <row r="47" spans="1:12" s="3" customFormat="1" ht="13.5" customHeight="1">
      <c r="A47" s="595" t="s">
        <v>2239</v>
      </c>
      <c r="B47" s="596"/>
      <c r="C47" s="596"/>
      <c r="D47" s="596"/>
      <c r="E47" s="596"/>
      <c r="F47" s="596"/>
      <c r="G47" s="596"/>
      <c r="H47" s="597"/>
      <c r="I47" s="4">
        <v>36</v>
      </c>
      <c r="J47" s="261"/>
      <c r="K47" s="255">
        <v>0</v>
      </c>
      <c r="L47" s="255">
        <v>0</v>
      </c>
    </row>
    <row r="48" spans="1:12" s="3" customFormat="1" ht="13.5" customHeight="1">
      <c r="A48" s="595" t="s">
        <v>2240</v>
      </c>
      <c r="B48" s="596"/>
      <c r="C48" s="596"/>
      <c r="D48" s="596"/>
      <c r="E48" s="596"/>
      <c r="F48" s="596"/>
      <c r="G48" s="596"/>
      <c r="H48" s="597"/>
      <c r="I48" s="4">
        <v>37</v>
      </c>
      <c r="J48" s="261"/>
      <c r="K48" s="255">
        <v>0</v>
      </c>
      <c r="L48" s="255">
        <v>0</v>
      </c>
    </row>
    <row r="49" spans="1:12" s="3" customFormat="1" ht="24.75" customHeight="1">
      <c r="A49" s="592" t="s">
        <v>2242</v>
      </c>
      <c r="B49" s="593"/>
      <c r="C49" s="593"/>
      <c r="D49" s="593"/>
      <c r="E49" s="593"/>
      <c r="F49" s="593"/>
      <c r="G49" s="593"/>
      <c r="H49" s="594"/>
      <c r="I49" s="4">
        <v>38</v>
      </c>
      <c r="J49" s="261"/>
      <c r="K49" s="256">
        <f>K33+K35+K42</f>
        <v>-132430849</v>
      </c>
      <c r="L49" s="256">
        <f>L33+L35+L42</f>
        <v>95804020</v>
      </c>
    </row>
    <row r="50" spans="1:12" s="3" customFormat="1" ht="13.5" customHeight="1">
      <c r="A50" s="595" t="s">
        <v>2243</v>
      </c>
      <c r="B50" s="596"/>
      <c r="C50" s="596"/>
      <c r="D50" s="596"/>
      <c r="E50" s="596"/>
      <c r="F50" s="596"/>
      <c r="G50" s="596"/>
      <c r="H50" s="597"/>
      <c r="I50" s="4">
        <v>39</v>
      </c>
      <c r="J50" s="261"/>
      <c r="K50" s="255">
        <v>0</v>
      </c>
      <c r="L50" s="255">
        <v>0</v>
      </c>
    </row>
    <row r="51" spans="1:12" s="3" customFormat="1" ht="15" customHeight="1">
      <c r="A51" s="592" t="s">
        <v>1519</v>
      </c>
      <c r="B51" s="593"/>
      <c r="C51" s="593"/>
      <c r="D51" s="593"/>
      <c r="E51" s="593"/>
      <c r="F51" s="593"/>
      <c r="G51" s="593"/>
      <c r="H51" s="594"/>
      <c r="I51" s="4">
        <v>40</v>
      </c>
      <c r="J51" s="261"/>
      <c r="K51" s="256">
        <f>K49+K50</f>
        <v>-132430849</v>
      </c>
      <c r="L51" s="256">
        <f>L49+L50</f>
        <v>95804020</v>
      </c>
    </row>
    <row r="52" spans="1:12" s="3" customFormat="1" ht="13.5" customHeight="1">
      <c r="A52" s="598" t="s">
        <v>2244</v>
      </c>
      <c r="B52" s="596"/>
      <c r="C52" s="596"/>
      <c r="D52" s="596"/>
      <c r="E52" s="596"/>
      <c r="F52" s="596"/>
      <c r="G52" s="596"/>
      <c r="H52" s="597"/>
      <c r="I52" s="5">
        <v>41</v>
      </c>
      <c r="J52" s="261"/>
      <c r="K52" s="255">
        <v>364007630</v>
      </c>
      <c r="L52" s="255">
        <v>231576781</v>
      </c>
    </row>
    <row r="53" spans="1:12" s="3" customFormat="1" ht="13.5" customHeight="1">
      <c r="A53" s="589" t="s">
        <v>2245</v>
      </c>
      <c r="B53" s="590"/>
      <c r="C53" s="590"/>
      <c r="D53" s="590"/>
      <c r="E53" s="590"/>
      <c r="F53" s="590"/>
      <c r="G53" s="590"/>
      <c r="H53" s="591"/>
      <c r="I53" s="8">
        <v>42</v>
      </c>
      <c r="J53" s="262"/>
      <c r="K53" s="258">
        <f>IF(K51+K52&gt;=0,K51+K52,0)</f>
        <v>231576781</v>
      </c>
      <c r="L53" s="258">
        <f>IF(L51+L52&gt;=0,L51+L52,0)</f>
        <v>327380801</v>
      </c>
    </row>
    <row r="54" ht="4.5" customHeight="1"/>
  </sheetData>
  <sheetProtection password="C79A" sheet="1" objects="1"/>
  <mergeCells count="52">
    <mergeCell ref="A10:H10"/>
    <mergeCell ref="A9:L9"/>
    <mergeCell ref="A11:H11"/>
    <mergeCell ref="A12:H12"/>
    <mergeCell ref="A1:B2"/>
    <mergeCell ref="A6:L6"/>
    <mergeCell ref="A7:H7"/>
    <mergeCell ref="A8:H8"/>
    <mergeCell ref="L3:L4"/>
    <mergeCell ref="A3:K3"/>
    <mergeCell ref="A17:H17"/>
    <mergeCell ref="A18:H18"/>
    <mergeCell ref="A19:H19"/>
    <mergeCell ref="A20:H20"/>
    <mergeCell ref="A13:H13"/>
    <mergeCell ref="A14:H14"/>
    <mergeCell ref="A15:H15"/>
    <mergeCell ref="A16:H16"/>
    <mergeCell ref="A4:K4"/>
    <mergeCell ref="A25:H25"/>
    <mergeCell ref="A26:H26"/>
    <mergeCell ref="A29:H29"/>
    <mergeCell ref="A27:H27"/>
    <mergeCell ref="A28:H28"/>
    <mergeCell ref="A21:H21"/>
    <mergeCell ref="A24:H24"/>
    <mergeCell ref="A22:H22"/>
    <mergeCell ref="A23:H23"/>
    <mergeCell ref="A30:H30"/>
    <mergeCell ref="A32:H32"/>
    <mergeCell ref="A33:H33"/>
    <mergeCell ref="A35:H35"/>
    <mergeCell ref="A31:H31"/>
    <mergeCell ref="A34:L34"/>
    <mergeCell ref="A41:L41"/>
    <mergeCell ref="A42:H42"/>
    <mergeCell ref="A43:H43"/>
    <mergeCell ref="A44:H44"/>
    <mergeCell ref="A36:H36"/>
    <mergeCell ref="A39:H39"/>
    <mergeCell ref="A37:H37"/>
    <mergeCell ref="A38:H38"/>
    <mergeCell ref="A53:H53"/>
    <mergeCell ref="A49:H49"/>
    <mergeCell ref="A50:H50"/>
    <mergeCell ref="A51:H51"/>
    <mergeCell ref="A52:H52"/>
    <mergeCell ref="A40:H40"/>
    <mergeCell ref="A45:H45"/>
    <mergeCell ref="A46:H46"/>
    <mergeCell ref="A48:H48"/>
    <mergeCell ref="A47:H47"/>
  </mergeCells>
  <dataValidations count="3">
    <dataValidation type="whole" operator="notEqual" allowBlank="1" showInputMessage="1" showErrorMessage="1" errorTitle="Neispravan unos" error="Dopušten je upis samo cjelobrojnih vrijednosti (pozitivnih i negativnih)." sqref="K40:L40 K11:L12 K36:L38 K27:L30 K33:L33 K43:L45 K14:L16 K18:L25 K48:L48 K50:L50">
      <formula1>9999999999</formula1>
    </dataValidation>
    <dataValidation type="whole" operator="greaterThanOrEqual" allowBlank="1" showInputMessage="1" showErrorMessage="1" errorTitle="Neispravan unos" error="Dopušten je upis samo cjelobrojnih pozitivnih vrijednosti." sqref="K13:L13 K52:L52 K39:L39 K46:L46">
      <formula1>0</formula1>
    </dataValidation>
    <dataValidation type="whole" operator="lessThanOrEqual" allowBlank="1" showInputMessage="1" showErrorMessage="1" errorTitle="Neispravan unos" error="Ova vrijednost se upisuje kao cijeli broj s negativnim predznakom (mora biti nula ili negativna)." sqref="K47:L47 K32:L32">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0" fitToWidth="1" horizontalDpi="1200" verticalDpi="1200" orientation="portrait"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P56"/>
  <sheetViews>
    <sheetView showGridLines="0" showRowColHeaders="0" zoomScalePageLayoutView="0" workbookViewId="0" topLeftCell="A1">
      <pane ySplit="8" topLeftCell="A9" activePane="bottomLeft" state="frozen"/>
      <selection pane="topLeft" activeCell="A1" sqref="A1"/>
      <selection pane="bottomLeft" activeCell="A1" sqref="A1:B2"/>
    </sheetView>
  </sheetViews>
  <sheetFormatPr defaultColWidth="0" defaultRowHeight="12.75" zeroHeight="1"/>
  <cols>
    <col min="1" max="7" width="7.7109375" style="0" customWidth="1"/>
    <col min="8" max="8" width="9.28125" style="0" customWidth="1"/>
    <col min="9" max="9" width="7.28125" style="0" customWidth="1"/>
    <col min="10" max="10" width="7.7109375" style="0" customWidth="1"/>
    <col min="11" max="12" width="14.28125" style="0" customWidth="1"/>
    <col min="13" max="13" width="0.85546875" style="0" customWidth="1"/>
    <col min="14" max="16" width="5.7109375" style="0" hidden="1" customWidth="1"/>
    <col min="17" max="16384" width="0" style="0" hidden="1" customWidth="1"/>
  </cols>
  <sheetData>
    <row r="1" spans="1:16" ht="19.5" customHeight="1">
      <c r="A1" s="320" t="s">
        <v>1801</v>
      </c>
      <c r="B1" s="321"/>
      <c r="C1" s="88" t="s">
        <v>396</v>
      </c>
      <c r="D1" s="85" t="s">
        <v>1802</v>
      </c>
      <c r="E1" s="85" t="s">
        <v>305</v>
      </c>
      <c r="F1" s="106" t="s">
        <v>1792</v>
      </c>
      <c r="G1" s="85" t="s">
        <v>397</v>
      </c>
      <c r="H1" s="106" t="s">
        <v>398</v>
      </c>
      <c r="I1" s="85" t="s">
        <v>306</v>
      </c>
      <c r="J1" s="86" t="s">
        <v>399</v>
      </c>
      <c r="K1" s="3"/>
      <c r="L1" s="3"/>
      <c r="O1" s="3">
        <f>IF(SUM(K10:L55)&lt;&gt;0,1,0)</f>
        <v>0</v>
      </c>
      <c r="P1" s="26">
        <f>IF(SUM(K10:K55)&lt;&gt;0,1,0)</f>
        <v>0</v>
      </c>
    </row>
    <row r="2" spans="1:16" s="3" customFormat="1" ht="19.5" customHeight="1" thickBot="1">
      <c r="A2" s="322"/>
      <c r="B2" s="323"/>
      <c r="C2" s="89" t="s">
        <v>1803</v>
      </c>
      <c r="D2" s="90" t="s">
        <v>308</v>
      </c>
      <c r="E2" s="90" t="s">
        <v>1804</v>
      </c>
      <c r="F2" s="90" t="s">
        <v>307</v>
      </c>
      <c r="G2" s="90" t="s">
        <v>401</v>
      </c>
      <c r="H2" s="91" t="s">
        <v>402</v>
      </c>
      <c r="I2" s="87"/>
      <c r="J2" s="87"/>
      <c r="P2" s="26">
        <f>IF(SUM(L10:L55)&lt;&gt;0,1,0)</f>
        <v>0</v>
      </c>
    </row>
    <row r="3" spans="1:12" s="3" customFormat="1" ht="19.5" customHeight="1">
      <c r="A3" s="579" t="s">
        <v>2137</v>
      </c>
      <c r="B3" s="580"/>
      <c r="C3" s="580"/>
      <c r="D3" s="580"/>
      <c r="E3" s="580"/>
      <c r="F3" s="580"/>
      <c r="G3" s="580"/>
      <c r="H3" s="580"/>
      <c r="I3" s="580"/>
      <c r="J3" s="580"/>
      <c r="K3" s="581"/>
      <c r="L3" s="495" t="s">
        <v>935</v>
      </c>
    </row>
    <row r="4" spans="1:12" s="3" customFormat="1" ht="19.5" customHeight="1" thickBot="1">
      <c r="A4" s="582" t="str">
        <f>"u razdoblju "&amp;IF(Opci!E5&lt;&gt;"",TEXT(Opci!E5,"DD.MM.YYYY."),"__.__.____.")&amp;" do "&amp;IF(Opci!H5&lt;&gt;"",TEXT(Opci!H5,"DD.MM.YYYY."),"__.__.____.")</f>
        <v>u razdoblju 01.01.2013. do 31.12.2013.</v>
      </c>
      <c r="B4" s="583"/>
      <c r="C4" s="583"/>
      <c r="D4" s="583"/>
      <c r="E4" s="583"/>
      <c r="F4" s="583"/>
      <c r="G4" s="583"/>
      <c r="H4" s="583"/>
      <c r="I4" s="583"/>
      <c r="J4" s="583"/>
      <c r="K4" s="581"/>
      <c r="L4" s="586"/>
    </row>
    <row r="5" spans="1:11" s="3" customFormat="1" ht="4.5" customHeight="1">
      <c r="A5" s="54"/>
      <c r="B5" s="55"/>
      <c r="C5" s="55"/>
      <c r="D5" s="55"/>
      <c r="E5" s="55"/>
      <c r="F5" s="55"/>
      <c r="G5" s="55"/>
      <c r="H5" s="55"/>
      <c r="I5" s="55"/>
      <c r="J5" s="55"/>
      <c r="K5" s="57"/>
    </row>
    <row r="6" spans="1:12" s="3" customFormat="1" ht="19.5" customHeight="1">
      <c r="A6" s="621" t="str">
        <f>"Obveznik: "&amp;IF(Opci!C23&lt;&gt;"",Opci!C23,"________")&amp;"; "&amp;IF(Opci!C25&lt;&gt;"",Opci!C25,"_____________________________________________________________"&amp;"; "&amp;IF(Opci!F27&lt;&gt;"",Opci!F27,"_______________"))</f>
        <v>Obveznik: 32247795989; CROATIA BANKA d.d.</v>
      </c>
      <c r="B6" s="622"/>
      <c r="C6" s="622"/>
      <c r="D6" s="622"/>
      <c r="E6" s="622"/>
      <c r="F6" s="622"/>
      <c r="G6" s="622"/>
      <c r="H6" s="622"/>
      <c r="I6" s="622"/>
      <c r="J6" s="622"/>
      <c r="K6" s="622"/>
      <c r="L6" s="623"/>
    </row>
    <row r="7" spans="1:12" s="3" customFormat="1" ht="24.75" customHeight="1" thickBot="1">
      <c r="A7" s="556" t="s">
        <v>2059</v>
      </c>
      <c r="B7" s="556"/>
      <c r="C7" s="556"/>
      <c r="D7" s="556"/>
      <c r="E7" s="556"/>
      <c r="F7" s="556"/>
      <c r="G7" s="556"/>
      <c r="H7" s="556"/>
      <c r="I7" s="95" t="s">
        <v>405</v>
      </c>
      <c r="J7" s="99" t="s">
        <v>406</v>
      </c>
      <c r="K7" s="96" t="s">
        <v>272</v>
      </c>
      <c r="L7" s="96" t="s">
        <v>273</v>
      </c>
    </row>
    <row r="8" spans="1:12" s="3" customFormat="1" ht="13.5" customHeight="1">
      <c r="A8" s="587">
        <v>1</v>
      </c>
      <c r="B8" s="587"/>
      <c r="C8" s="587"/>
      <c r="D8" s="587"/>
      <c r="E8" s="587"/>
      <c r="F8" s="587"/>
      <c r="G8" s="587"/>
      <c r="H8" s="587"/>
      <c r="I8" s="98">
        <v>2</v>
      </c>
      <c r="J8" s="117">
        <v>3</v>
      </c>
      <c r="K8" s="115">
        <v>4</v>
      </c>
      <c r="L8" s="115">
        <v>5</v>
      </c>
    </row>
    <row r="9" spans="1:12" s="3" customFormat="1" ht="13.5" customHeight="1">
      <c r="A9" s="599" t="s">
        <v>1177</v>
      </c>
      <c r="B9" s="600"/>
      <c r="C9" s="600"/>
      <c r="D9" s="600"/>
      <c r="E9" s="600"/>
      <c r="F9" s="600"/>
      <c r="G9" s="600"/>
      <c r="H9" s="600"/>
      <c r="I9" s="624"/>
      <c r="J9" s="624"/>
      <c r="K9" s="624"/>
      <c r="L9" s="625"/>
    </row>
    <row r="10" spans="1:12" s="3" customFormat="1" ht="13.5" customHeight="1">
      <c r="A10" s="618" t="s">
        <v>1998</v>
      </c>
      <c r="B10" s="626"/>
      <c r="C10" s="626"/>
      <c r="D10" s="626"/>
      <c r="E10" s="626"/>
      <c r="F10" s="626"/>
      <c r="G10" s="626"/>
      <c r="H10" s="627"/>
      <c r="I10" s="4">
        <v>1</v>
      </c>
      <c r="J10" s="260"/>
      <c r="K10" s="251">
        <f>SUM(K11:K18)</f>
        <v>0</v>
      </c>
      <c r="L10" s="251">
        <f>SUM(L11:L18)</f>
        <v>0</v>
      </c>
    </row>
    <row r="11" spans="1:12" s="3" customFormat="1" ht="13.5" customHeight="1">
      <c r="A11" s="595" t="s">
        <v>1999</v>
      </c>
      <c r="B11" s="596"/>
      <c r="C11" s="596"/>
      <c r="D11" s="596"/>
      <c r="E11" s="596"/>
      <c r="F11" s="596"/>
      <c r="G11" s="596"/>
      <c r="H11" s="597"/>
      <c r="I11" s="4">
        <v>2</v>
      </c>
      <c r="J11" s="261"/>
      <c r="K11" s="241"/>
      <c r="L11" s="241"/>
    </row>
    <row r="12" spans="1:12" s="3" customFormat="1" ht="13.5" customHeight="1">
      <c r="A12" s="595" t="s">
        <v>2000</v>
      </c>
      <c r="B12" s="596"/>
      <c r="C12" s="596"/>
      <c r="D12" s="596"/>
      <c r="E12" s="596"/>
      <c r="F12" s="596"/>
      <c r="G12" s="596"/>
      <c r="H12" s="597"/>
      <c r="I12" s="4">
        <v>3</v>
      </c>
      <c r="J12" s="261"/>
      <c r="K12" s="241"/>
      <c r="L12" s="241"/>
    </row>
    <row r="13" spans="1:12" s="3" customFormat="1" ht="13.5" customHeight="1">
      <c r="A13" s="595" t="s">
        <v>2001</v>
      </c>
      <c r="B13" s="596"/>
      <c r="C13" s="596"/>
      <c r="D13" s="596"/>
      <c r="E13" s="596"/>
      <c r="F13" s="596"/>
      <c r="G13" s="596"/>
      <c r="H13" s="597"/>
      <c r="I13" s="4">
        <v>4</v>
      </c>
      <c r="J13" s="261"/>
      <c r="K13" s="241"/>
      <c r="L13" s="241"/>
    </row>
    <row r="14" spans="1:12" s="3" customFormat="1" ht="13.5" customHeight="1">
      <c r="A14" s="595" t="s">
        <v>909</v>
      </c>
      <c r="B14" s="596"/>
      <c r="C14" s="596"/>
      <c r="D14" s="596"/>
      <c r="E14" s="596"/>
      <c r="F14" s="596"/>
      <c r="G14" s="596"/>
      <c r="H14" s="597"/>
      <c r="I14" s="4">
        <v>5</v>
      </c>
      <c r="J14" s="261"/>
      <c r="K14" s="241"/>
      <c r="L14" s="241"/>
    </row>
    <row r="15" spans="1:12" s="3" customFormat="1" ht="13.5" customHeight="1">
      <c r="A15" s="595" t="s">
        <v>910</v>
      </c>
      <c r="B15" s="596"/>
      <c r="C15" s="596"/>
      <c r="D15" s="596"/>
      <c r="E15" s="596"/>
      <c r="F15" s="596"/>
      <c r="G15" s="596"/>
      <c r="H15" s="597"/>
      <c r="I15" s="4">
        <v>6</v>
      </c>
      <c r="J15" s="261"/>
      <c r="K15" s="241"/>
      <c r="L15" s="241"/>
    </row>
    <row r="16" spans="1:12" s="3" customFormat="1" ht="24.75" customHeight="1">
      <c r="A16" s="595" t="s">
        <v>2106</v>
      </c>
      <c r="B16" s="596"/>
      <c r="C16" s="596"/>
      <c r="D16" s="596"/>
      <c r="E16" s="596"/>
      <c r="F16" s="596"/>
      <c r="G16" s="596"/>
      <c r="H16" s="597"/>
      <c r="I16" s="4">
        <v>7</v>
      </c>
      <c r="J16" s="261"/>
      <c r="K16" s="241"/>
      <c r="L16" s="241"/>
    </row>
    <row r="17" spans="1:12" s="3" customFormat="1" ht="13.5" customHeight="1">
      <c r="A17" s="595" t="s">
        <v>911</v>
      </c>
      <c r="B17" s="596"/>
      <c r="C17" s="596"/>
      <c r="D17" s="596"/>
      <c r="E17" s="596"/>
      <c r="F17" s="596"/>
      <c r="G17" s="596"/>
      <c r="H17" s="597"/>
      <c r="I17" s="4">
        <v>8</v>
      </c>
      <c r="J17" s="261"/>
      <c r="K17" s="241"/>
      <c r="L17" s="241"/>
    </row>
    <row r="18" spans="1:12" s="3" customFormat="1" ht="13.5" customHeight="1">
      <c r="A18" s="595" t="s">
        <v>912</v>
      </c>
      <c r="B18" s="596"/>
      <c r="C18" s="596"/>
      <c r="D18" s="596"/>
      <c r="E18" s="596"/>
      <c r="F18" s="596"/>
      <c r="G18" s="596"/>
      <c r="H18" s="597"/>
      <c r="I18" s="4">
        <v>9</v>
      </c>
      <c r="J18" s="261"/>
      <c r="K18" s="241"/>
      <c r="L18" s="241"/>
    </row>
    <row r="19" spans="1:12" s="3" customFormat="1" ht="13.5" customHeight="1">
      <c r="A19" s="598" t="s">
        <v>913</v>
      </c>
      <c r="B19" s="596"/>
      <c r="C19" s="596"/>
      <c r="D19" s="596"/>
      <c r="E19" s="596"/>
      <c r="F19" s="596"/>
      <c r="G19" s="596"/>
      <c r="H19" s="597"/>
      <c r="I19" s="4">
        <v>10</v>
      </c>
      <c r="J19" s="261"/>
      <c r="K19" s="254">
        <f>SUM(K20:K27)</f>
        <v>0</v>
      </c>
      <c r="L19" s="254">
        <f>SUM(L20:L27)</f>
        <v>0</v>
      </c>
    </row>
    <row r="20" spans="1:12" s="3" customFormat="1" ht="13.5" customHeight="1">
      <c r="A20" s="595" t="s">
        <v>1183</v>
      </c>
      <c r="B20" s="596"/>
      <c r="C20" s="596"/>
      <c r="D20" s="596"/>
      <c r="E20" s="596"/>
      <c r="F20" s="596"/>
      <c r="G20" s="596"/>
      <c r="H20" s="597"/>
      <c r="I20" s="4">
        <v>11</v>
      </c>
      <c r="J20" s="261"/>
      <c r="K20" s="241"/>
      <c r="L20" s="241"/>
    </row>
    <row r="21" spans="1:12" s="3" customFormat="1" ht="13.5" customHeight="1">
      <c r="A21" s="595" t="s">
        <v>1184</v>
      </c>
      <c r="B21" s="596"/>
      <c r="C21" s="596"/>
      <c r="D21" s="596"/>
      <c r="E21" s="596"/>
      <c r="F21" s="596"/>
      <c r="G21" s="596"/>
      <c r="H21" s="597"/>
      <c r="I21" s="4">
        <v>12</v>
      </c>
      <c r="J21" s="261"/>
      <c r="K21" s="241"/>
      <c r="L21" s="241"/>
    </row>
    <row r="22" spans="1:12" s="3" customFormat="1" ht="13.5" customHeight="1">
      <c r="A22" s="595" t="s">
        <v>1185</v>
      </c>
      <c r="B22" s="596"/>
      <c r="C22" s="596"/>
      <c r="D22" s="596"/>
      <c r="E22" s="596"/>
      <c r="F22" s="596"/>
      <c r="G22" s="596"/>
      <c r="H22" s="597"/>
      <c r="I22" s="4">
        <v>13</v>
      </c>
      <c r="J22" s="261"/>
      <c r="K22" s="241"/>
      <c r="L22" s="241"/>
    </row>
    <row r="23" spans="1:12" s="3" customFormat="1" ht="13.5" customHeight="1">
      <c r="A23" s="595" t="s">
        <v>1186</v>
      </c>
      <c r="B23" s="596"/>
      <c r="C23" s="596"/>
      <c r="D23" s="596"/>
      <c r="E23" s="596"/>
      <c r="F23" s="596"/>
      <c r="G23" s="596"/>
      <c r="H23" s="597"/>
      <c r="I23" s="4">
        <v>14</v>
      </c>
      <c r="J23" s="261"/>
      <c r="K23" s="241"/>
      <c r="L23" s="241"/>
    </row>
    <row r="24" spans="1:12" s="3" customFormat="1" ht="24.75" customHeight="1">
      <c r="A24" s="628" t="s">
        <v>919</v>
      </c>
      <c r="B24" s="629"/>
      <c r="C24" s="629"/>
      <c r="D24" s="629"/>
      <c r="E24" s="629"/>
      <c r="F24" s="629"/>
      <c r="G24" s="629"/>
      <c r="H24" s="630"/>
      <c r="I24" s="4">
        <v>15</v>
      </c>
      <c r="J24" s="261"/>
      <c r="K24" s="241"/>
      <c r="L24" s="241"/>
    </row>
    <row r="25" spans="1:12" s="3" customFormat="1" ht="13.5" customHeight="1">
      <c r="A25" s="595" t="s">
        <v>914</v>
      </c>
      <c r="B25" s="596"/>
      <c r="C25" s="596"/>
      <c r="D25" s="596"/>
      <c r="E25" s="596"/>
      <c r="F25" s="596"/>
      <c r="G25" s="596"/>
      <c r="H25" s="597"/>
      <c r="I25" s="4">
        <v>16</v>
      </c>
      <c r="J25" s="261"/>
      <c r="K25" s="241"/>
      <c r="L25" s="241"/>
    </row>
    <row r="26" spans="1:12" s="3" customFormat="1" ht="24.75" customHeight="1">
      <c r="A26" s="595" t="s">
        <v>918</v>
      </c>
      <c r="B26" s="596"/>
      <c r="C26" s="596"/>
      <c r="D26" s="596"/>
      <c r="E26" s="596"/>
      <c r="F26" s="596"/>
      <c r="G26" s="596"/>
      <c r="H26" s="597"/>
      <c r="I26" s="4">
        <v>17</v>
      </c>
      <c r="J26" s="261"/>
      <c r="K26" s="241"/>
      <c r="L26" s="241"/>
    </row>
    <row r="27" spans="1:12" s="3" customFormat="1" ht="13.5" customHeight="1">
      <c r="A27" s="595" t="s">
        <v>915</v>
      </c>
      <c r="B27" s="596"/>
      <c r="C27" s="596"/>
      <c r="D27" s="596"/>
      <c r="E27" s="596"/>
      <c r="F27" s="596"/>
      <c r="G27" s="596"/>
      <c r="H27" s="597"/>
      <c r="I27" s="4">
        <v>18</v>
      </c>
      <c r="J27" s="261"/>
      <c r="K27" s="241"/>
      <c r="L27" s="241"/>
    </row>
    <row r="28" spans="1:13" s="3" customFormat="1" ht="13.5" customHeight="1">
      <c r="A28" s="598" t="s">
        <v>916</v>
      </c>
      <c r="B28" s="596"/>
      <c r="C28" s="596"/>
      <c r="D28" s="596"/>
      <c r="E28" s="596"/>
      <c r="F28" s="596"/>
      <c r="G28" s="596"/>
      <c r="H28" s="597"/>
      <c r="I28" s="4">
        <v>19</v>
      </c>
      <c r="J28" s="261"/>
      <c r="K28" s="254">
        <f>SUM(K29:K32)</f>
        <v>0</v>
      </c>
      <c r="L28" s="254">
        <f>SUM(L29:L32)</f>
        <v>0</v>
      </c>
      <c r="M28" s="180"/>
    </row>
    <row r="29" spans="1:12" s="3" customFormat="1" ht="13.5" customHeight="1">
      <c r="A29" s="595" t="s">
        <v>1189</v>
      </c>
      <c r="B29" s="596"/>
      <c r="C29" s="596"/>
      <c r="D29" s="596"/>
      <c r="E29" s="596"/>
      <c r="F29" s="596"/>
      <c r="G29" s="596"/>
      <c r="H29" s="597"/>
      <c r="I29" s="4">
        <v>20</v>
      </c>
      <c r="J29" s="261"/>
      <c r="K29" s="241"/>
      <c r="L29" s="241"/>
    </row>
    <row r="30" spans="1:12" s="3" customFormat="1" ht="13.5" customHeight="1">
      <c r="A30" s="595" t="s">
        <v>1190</v>
      </c>
      <c r="B30" s="596"/>
      <c r="C30" s="596"/>
      <c r="D30" s="596"/>
      <c r="E30" s="596"/>
      <c r="F30" s="596"/>
      <c r="G30" s="596"/>
      <c r="H30" s="597"/>
      <c r="I30" s="4">
        <v>21</v>
      </c>
      <c r="J30" s="261"/>
      <c r="K30" s="241"/>
      <c r="L30" s="241"/>
    </row>
    <row r="31" spans="1:12" s="3" customFormat="1" ht="13.5" customHeight="1">
      <c r="A31" s="595" t="s">
        <v>1191</v>
      </c>
      <c r="B31" s="596"/>
      <c r="C31" s="596"/>
      <c r="D31" s="596"/>
      <c r="E31" s="596"/>
      <c r="F31" s="596"/>
      <c r="G31" s="596"/>
      <c r="H31" s="597"/>
      <c r="I31" s="4">
        <v>22</v>
      </c>
      <c r="J31" s="261"/>
      <c r="K31" s="241"/>
      <c r="L31" s="241"/>
    </row>
    <row r="32" spans="1:12" s="3" customFormat="1" ht="13.5" customHeight="1">
      <c r="A32" s="595" t="s">
        <v>1192</v>
      </c>
      <c r="B32" s="596"/>
      <c r="C32" s="596"/>
      <c r="D32" s="596"/>
      <c r="E32" s="596"/>
      <c r="F32" s="596"/>
      <c r="G32" s="596"/>
      <c r="H32" s="597"/>
      <c r="I32" s="4">
        <v>23</v>
      </c>
      <c r="J32" s="261"/>
      <c r="K32" s="241"/>
      <c r="L32" s="241"/>
    </row>
    <row r="33" spans="1:12" s="3" customFormat="1" ht="24.75" customHeight="1">
      <c r="A33" s="598" t="s">
        <v>917</v>
      </c>
      <c r="B33" s="596"/>
      <c r="C33" s="596"/>
      <c r="D33" s="596"/>
      <c r="E33" s="596"/>
      <c r="F33" s="596"/>
      <c r="G33" s="596"/>
      <c r="H33" s="597"/>
      <c r="I33" s="4">
        <v>24</v>
      </c>
      <c r="J33" s="261"/>
      <c r="K33" s="254">
        <f>K10+K19+K28</f>
        <v>0</v>
      </c>
      <c r="L33" s="254">
        <f>L10+L19+L28</f>
        <v>0</v>
      </c>
    </row>
    <row r="34" spans="1:12" s="3" customFormat="1" ht="13.5" customHeight="1">
      <c r="A34" s="595" t="s">
        <v>1193</v>
      </c>
      <c r="B34" s="596"/>
      <c r="C34" s="596"/>
      <c r="D34" s="596"/>
      <c r="E34" s="596"/>
      <c r="F34" s="596"/>
      <c r="G34" s="596"/>
      <c r="H34" s="597"/>
      <c r="I34" s="4">
        <v>25</v>
      </c>
      <c r="J34" s="261"/>
      <c r="K34" s="241"/>
      <c r="L34" s="241"/>
    </row>
    <row r="35" spans="1:12" s="3" customFormat="1" ht="13.5" customHeight="1">
      <c r="A35" s="598" t="s">
        <v>706</v>
      </c>
      <c r="B35" s="596"/>
      <c r="C35" s="596"/>
      <c r="D35" s="596"/>
      <c r="E35" s="596"/>
      <c r="F35" s="596"/>
      <c r="G35" s="596"/>
      <c r="H35" s="597"/>
      <c r="I35" s="4">
        <v>26</v>
      </c>
      <c r="J35" s="262"/>
      <c r="K35" s="252">
        <f>K33+K34</f>
        <v>0</v>
      </c>
      <c r="L35" s="252">
        <f>L33+L34</f>
        <v>0</v>
      </c>
    </row>
    <row r="36" spans="1:12" s="3" customFormat="1" ht="13.5" customHeight="1">
      <c r="A36" s="599" t="s">
        <v>1195</v>
      </c>
      <c r="B36" s="600"/>
      <c r="C36" s="600"/>
      <c r="D36" s="600"/>
      <c r="E36" s="600"/>
      <c r="F36" s="600"/>
      <c r="G36" s="600"/>
      <c r="H36" s="600"/>
      <c r="I36" s="624"/>
      <c r="J36" s="631"/>
      <c r="K36" s="624"/>
      <c r="L36" s="625"/>
    </row>
    <row r="37" spans="1:12" s="3" customFormat="1" ht="13.5" customHeight="1">
      <c r="A37" s="618" t="s">
        <v>920</v>
      </c>
      <c r="B37" s="626"/>
      <c r="C37" s="626"/>
      <c r="D37" s="626"/>
      <c r="E37" s="626"/>
      <c r="F37" s="626"/>
      <c r="G37" s="626"/>
      <c r="H37" s="627"/>
      <c r="I37" s="4">
        <v>27</v>
      </c>
      <c r="J37" s="260"/>
      <c r="K37" s="251">
        <f>SUM(K38:K42)</f>
        <v>0</v>
      </c>
      <c r="L37" s="251">
        <f>SUM(L38:L42)</f>
        <v>0</v>
      </c>
    </row>
    <row r="38" spans="1:12" s="3" customFormat="1" ht="24.75" customHeight="1">
      <c r="A38" s="595" t="s">
        <v>922</v>
      </c>
      <c r="B38" s="596"/>
      <c r="C38" s="596"/>
      <c r="D38" s="596"/>
      <c r="E38" s="596"/>
      <c r="F38" s="596"/>
      <c r="G38" s="596"/>
      <c r="H38" s="597"/>
      <c r="I38" s="4">
        <v>28</v>
      </c>
      <c r="J38" s="261"/>
      <c r="K38" s="241"/>
      <c r="L38" s="241"/>
    </row>
    <row r="39" spans="1:12" s="3" customFormat="1" ht="24.75" customHeight="1">
      <c r="A39" s="595" t="s">
        <v>923</v>
      </c>
      <c r="B39" s="596"/>
      <c r="C39" s="596"/>
      <c r="D39" s="596"/>
      <c r="E39" s="596"/>
      <c r="F39" s="596"/>
      <c r="G39" s="596"/>
      <c r="H39" s="597"/>
      <c r="I39" s="4">
        <v>29</v>
      </c>
      <c r="J39" s="261"/>
      <c r="K39" s="241"/>
      <c r="L39" s="241"/>
    </row>
    <row r="40" spans="1:12" s="3" customFormat="1" ht="24.75" customHeight="1">
      <c r="A40" s="595" t="s">
        <v>924</v>
      </c>
      <c r="B40" s="596"/>
      <c r="C40" s="596"/>
      <c r="D40" s="596"/>
      <c r="E40" s="596"/>
      <c r="F40" s="596"/>
      <c r="G40" s="596"/>
      <c r="H40" s="597"/>
      <c r="I40" s="4">
        <v>30</v>
      </c>
      <c r="J40" s="261"/>
      <c r="K40" s="241"/>
      <c r="L40" s="241"/>
    </row>
    <row r="41" spans="1:12" s="3" customFormat="1" ht="13.5" customHeight="1">
      <c r="A41" s="595" t="s">
        <v>2232</v>
      </c>
      <c r="B41" s="596"/>
      <c r="C41" s="596"/>
      <c r="D41" s="596"/>
      <c r="E41" s="596"/>
      <c r="F41" s="596"/>
      <c r="G41" s="596"/>
      <c r="H41" s="597"/>
      <c r="I41" s="4">
        <v>31</v>
      </c>
      <c r="J41" s="261"/>
      <c r="K41" s="241"/>
      <c r="L41" s="241"/>
    </row>
    <row r="42" spans="1:12" s="3" customFormat="1" ht="13.5" customHeight="1">
      <c r="A42" s="595" t="s">
        <v>921</v>
      </c>
      <c r="B42" s="596"/>
      <c r="C42" s="596"/>
      <c r="D42" s="596"/>
      <c r="E42" s="596"/>
      <c r="F42" s="596"/>
      <c r="G42" s="596"/>
      <c r="H42" s="597"/>
      <c r="I42" s="4">
        <v>32</v>
      </c>
      <c r="J42" s="262"/>
      <c r="K42" s="259"/>
      <c r="L42" s="259"/>
    </row>
    <row r="43" spans="1:12" s="3" customFormat="1" ht="13.5" customHeight="1">
      <c r="A43" s="599" t="s">
        <v>2234</v>
      </c>
      <c r="B43" s="600"/>
      <c r="C43" s="600"/>
      <c r="D43" s="600"/>
      <c r="E43" s="600"/>
      <c r="F43" s="600"/>
      <c r="G43" s="600"/>
      <c r="H43" s="600"/>
      <c r="I43" s="624"/>
      <c r="J43" s="631"/>
      <c r="K43" s="624"/>
      <c r="L43" s="625"/>
    </row>
    <row r="44" spans="1:12" s="3" customFormat="1" ht="13.5" customHeight="1">
      <c r="A44" s="618" t="s">
        <v>925</v>
      </c>
      <c r="B44" s="626"/>
      <c r="C44" s="626"/>
      <c r="D44" s="626"/>
      <c r="E44" s="626"/>
      <c r="F44" s="626"/>
      <c r="G44" s="626"/>
      <c r="H44" s="627"/>
      <c r="I44" s="4">
        <v>33</v>
      </c>
      <c r="J44" s="260"/>
      <c r="K44" s="251">
        <f>SUM(K45:K50)</f>
        <v>0</v>
      </c>
      <c r="L44" s="251">
        <f>SUM(L45:L50)</f>
        <v>0</v>
      </c>
    </row>
    <row r="45" spans="1:12" s="3" customFormat="1" ht="13.5" customHeight="1">
      <c r="A45" s="595" t="s">
        <v>926</v>
      </c>
      <c r="B45" s="596"/>
      <c r="C45" s="596"/>
      <c r="D45" s="596"/>
      <c r="E45" s="596"/>
      <c r="F45" s="596"/>
      <c r="G45" s="596"/>
      <c r="H45" s="597"/>
      <c r="I45" s="4">
        <v>34</v>
      </c>
      <c r="J45" s="261"/>
      <c r="K45" s="241"/>
      <c r="L45" s="241"/>
    </row>
    <row r="46" spans="1:12" s="3" customFormat="1" ht="13.5" customHeight="1">
      <c r="A46" s="595" t="s">
        <v>927</v>
      </c>
      <c r="B46" s="596"/>
      <c r="C46" s="596"/>
      <c r="D46" s="596"/>
      <c r="E46" s="596"/>
      <c r="F46" s="596"/>
      <c r="G46" s="596"/>
      <c r="H46" s="597"/>
      <c r="I46" s="4">
        <v>35</v>
      </c>
      <c r="J46" s="261"/>
      <c r="K46" s="241"/>
      <c r="L46" s="241"/>
    </row>
    <row r="47" spans="1:12" s="3" customFormat="1" ht="13.5" customHeight="1">
      <c r="A47" s="595" t="s">
        <v>928</v>
      </c>
      <c r="B47" s="596"/>
      <c r="C47" s="596"/>
      <c r="D47" s="596"/>
      <c r="E47" s="596"/>
      <c r="F47" s="596"/>
      <c r="G47" s="596"/>
      <c r="H47" s="597"/>
      <c r="I47" s="4">
        <v>36</v>
      </c>
      <c r="J47" s="261"/>
      <c r="K47" s="241"/>
      <c r="L47" s="241"/>
    </row>
    <row r="48" spans="1:12" s="3" customFormat="1" ht="13.5" customHeight="1">
      <c r="A48" s="595" t="s">
        <v>2238</v>
      </c>
      <c r="B48" s="596"/>
      <c r="C48" s="596"/>
      <c r="D48" s="596"/>
      <c r="E48" s="596"/>
      <c r="F48" s="596"/>
      <c r="G48" s="596"/>
      <c r="H48" s="597"/>
      <c r="I48" s="4">
        <v>37</v>
      </c>
      <c r="J48" s="261"/>
      <c r="K48" s="241"/>
      <c r="L48" s="241"/>
    </row>
    <row r="49" spans="1:12" s="3" customFormat="1" ht="13.5" customHeight="1">
      <c r="A49" s="595" t="s">
        <v>2239</v>
      </c>
      <c r="B49" s="596"/>
      <c r="C49" s="596"/>
      <c r="D49" s="596"/>
      <c r="E49" s="596"/>
      <c r="F49" s="596"/>
      <c r="G49" s="596"/>
      <c r="H49" s="597"/>
      <c r="I49" s="4">
        <v>38</v>
      </c>
      <c r="J49" s="261"/>
      <c r="K49" s="241"/>
      <c r="L49" s="241"/>
    </row>
    <row r="50" spans="1:12" s="3" customFormat="1" ht="13.5" customHeight="1">
      <c r="A50" s="595" t="s">
        <v>929</v>
      </c>
      <c r="B50" s="596"/>
      <c r="C50" s="596"/>
      <c r="D50" s="596"/>
      <c r="E50" s="596"/>
      <c r="F50" s="596"/>
      <c r="G50" s="596"/>
      <c r="H50" s="597"/>
      <c r="I50" s="4">
        <v>39</v>
      </c>
      <c r="J50" s="261"/>
      <c r="K50" s="241"/>
      <c r="L50" s="241"/>
    </row>
    <row r="51" spans="1:12" s="3" customFormat="1" ht="13.5" customHeight="1">
      <c r="A51" s="598" t="s">
        <v>930</v>
      </c>
      <c r="B51" s="596"/>
      <c r="C51" s="596"/>
      <c r="D51" s="596"/>
      <c r="E51" s="596"/>
      <c r="F51" s="596"/>
      <c r="G51" s="596"/>
      <c r="H51" s="597"/>
      <c r="I51" s="4">
        <v>40</v>
      </c>
      <c r="J51" s="261"/>
      <c r="K51" s="254">
        <f>K35+K37+K44</f>
        <v>0</v>
      </c>
      <c r="L51" s="254">
        <f>L35+L37+L44</f>
        <v>0</v>
      </c>
    </row>
    <row r="52" spans="1:12" s="3" customFormat="1" ht="13.5" customHeight="1">
      <c r="A52" s="595" t="s">
        <v>931</v>
      </c>
      <c r="B52" s="596"/>
      <c r="C52" s="596"/>
      <c r="D52" s="596"/>
      <c r="E52" s="596"/>
      <c r="F52" s="596"/>
      <c r="G52" s="596"/>
      <c r="H52" s="597"/>
      <c r="I52" s="4">
        <v>41</v>
      </c>
      <c r="J52" s="261"/>
      <c r="K52" s="241"/>
      <c r="L52" s="241"/>
    </row>
    <row r="53" spans="1:12" s="3" customFormat="1" ht="13.5" customHeight="1">
      <c r="A53" s="598" t="s">
        <v>932</v>
      </c>
      <c r="B53" s="596"/>
      <c r="C53" s="596"/>
      <c r="D53" s="596"/>
      <c r="E53" s="596"/>
      <c r="F53" s="596"/>
      <c r="G53" s="596"/>
      <c r="H53" s="597"/>
      <c r="I53" s="4">
        <v>42</v>
      </c>
      <c r="J53" s="261"/>
      <c r="K53" s="254">
        <f>K51+K52</f>
        <v>0</v>
      </c>
      <c r="L53" s="254">
        <f>L51+L52</f>
        <v>0</v>
      </c>
    </row>
    <row r="54" spans="1:12" s="3" customFormat="1" ht="13.5" customHeight="1">
      <c r="A54" s="598" t="s">
        <v>933</v>
      </c>
      <c r="B54" s="596"/>
      <c r="C54" s="596"/>
      <c r="D54" s="596"/>
      <c r="E54" s="596"/>
      <c r="F54" s="596"/>
      <c r="G54" s="596"/>
      <c r="H54" s="597"/>
      <c r="I54" s="4">
        <v>43</v>
      </c>
      <c r="J54" s="261"/>
      <c r="K54" s="241"/>
      <c r="L54" s="241"/>
    </row>
    <row r="55" spans="1:12" s="3" customFormat="1" ht="13.5" customHeight="1">
      <c r="A55" s="589" t="s">
        <v>934</v>
      </c>
      <c r="B55" s="590"/>
      <c r="C55" s="590"/>
      <c r="D55" s="590"/>
      <c r="E55" s="590"/>
      <c r="F55" s="590"/>
      <c r="G55" s="590"/>
      <c r="H55" s="591"/>
      <c r="I55" s="8">
        <v>44</v>
      </c>
      <c r="J55" s="262"/>
      <c r="K55" s="252">
        <f>IF(K53+K54&gt;=0,K53+K54,0)</f>
        <v>0</v>
      </c>
      <c r="L55" s="252">
        <f>IF(L53+L54&gt;=0,L53+L54,0)</f>
        <v>0</v>
      </c>
    </row>
    <row r="56" ht="13.5" customHeight="1">
      <c r="A56" s="9" t="s">
        <v>2125</v>
      </c>
    </row>
    <row r="57" ht="4.5" customHeight="1"/>
  </sheetData>
  <sheetProtection password="C79A" sheet="1" objects="1"/>
  <mergeCells count="54">
    <mergeCell ref="A49:H49"/>
    <mergeCell ref="A43:L43"/>
    <mergeCell ref="A44:H44"/>
    <mergeCell ref="A45:H45"/>
    <mergeCell ref="A46:H46"/>
    <mergeCell ref="A42:H42"/>
    <mergeCell ref="A40:H40"/>
    <mergeCell ref="A38:H38"/>
    <mergeCell ref="A35:H35"/>
    <mergeCell ref="A1:B2"/>
    <mergeCell ref="A47:H47"/>
    <mergeCell ref="A48:H48"/>
    <mergeCell ref="A41:H41"/>
    <mergeCell ref="A34:H34"/>
    <mergeCell ref="A36:L36"/>
    <mergeCell ref="A37:H37"/>
    <mergeCell ref="A32:H32"/>
    <mergeCell ref="A33:H33"/>
    <mergeCell ref="A39:H39"/>
    <mergeCell ref="A27:H27"/>
    <mergeCell ref="A25:H25"/>
    <mergeCell ref="A23:H23"/>
    <mergeCell ref="A24:H24"/>
    <mergeCell ref="A30:H30"/>
    <mergeCell ref="A31:H31"/>
    <mergeCell ref="A28:H28"/>
    <mergeCell ref="A29:H29"/>
    <mergeCell ref="A22:H22"/>
    <mergeCell ref="A20:H20"/>
    <mergeCell ref="A21:H21"/>
    <mergeCell ref="A18:H18"/>
    <mergeCell ref="A19:H19"/>
    <mergeCell ref="A26:H26"/>
    <mergeCell ref="A11:H11"/>
    <mergeCell ref="A12:H12"/>
    <mergeCell ref="A9:L9"/>
    <mergeCell ref="A10:H10"/>
    <mergeCell ref="A16:H16"/>
    <mergeCell ref="A17:H17"/>
    <mergeCell ref="A15:H15"/>
    <mergeCell ref="A13:H13"/>
    <mergeCell ref="A14:H14"/>
    <mergeCell ref="A7:H7"/>
    <mergeCell ref="A8:H8"/>
    <mergeCell ref="A3:K3"/>
    <mergeCell ref="L3:L4"/>
    <mergeCell ref="A4:K4"/>
    <mergeCell ref="A6:L6"/>
    <mergeCell ref="A54:H54"/>
    <mergeCell ref="A55:H55"/>
    <mergeCell ref="A50:H50"/>
    <mergeCell ref="A51:H51"/>
    <mergeCell ref="A52:H52"/>
    <mergeCell ref="A53:H53"/>
  </mergeCells>
  <dataValidations count="4">
    <dataValidation type="whole" operator="greaterThanOrEqual" allowBlank="1" showInputMessage="1" showErrorMessage="1" errorTitle="Pogrešan unos" error="Mogu se unijeti samo cjelobrojne pozitivne vrijednosti." sqref="K17:L17 K54:L54 K11:L12 K41:L41 K48:L48">
      <formula1>0</formula1>
    </dataValidation>
    <dataValidation type="whole" operator="notEqual" allowBlank="1" showInputMessage="1" showErrorMessage="1" errorTitle="Pogrešan unos" error="Mogu se unijeti samo cjelobrojne vrijednosti." sqref="M28">
      <formula1>9999999998</formula1>
    </dataValidation>
    <dataValidation type="whole" operator="notEqual" allowBlank="1" showInputMessage="1" showErrorMessage="1" errorTitle="Pogrešan unos" error="Mogu se unijeti samo cjelobrojne vrijednosti (pozitivne ili negativne)." sqref="K16:L16 K45:L47 K20:L27 K42:L42 K38:L40 K29:L32 K50:L50 K52:L52">
      <formula1>9999999999</formula1>
    </dataValidation>
    <dataValidation type="whole" operator="lessThanOrEqual" allowBlank="1" showInputMessage="1" showErrorMessage="1" errorTitle="Pogrešan unos" error="Mogu se unijeti samo cjelobrojne negativne vrijednosti." sqref="K13:L15 K49:L49 K18:L18 K34:L34">
      <formula1>0</formula1>
    </dataValidation>
  </dataValidations>
  <hyperlinks>
    <hyperlink ref="E1" location="RDG!K8" tooltip="Unos podataka u Račun dobiti i gubitka" display="RDG"/>
    <hyperlink ref="D1" location="Bilanca!K10" tooltip="Unos podataka u obrazac Bilance" display="Bilanca"/>
    <hyperlink ref="C1" location="Opci!A11" tooltip="Naslovna strana, unos općih podataka" display="Naslovna"/>
    <hyperlink ref="F1" location="BanDop!A1" tooltip="Unos podataka u Dopunske podatke" display="PodDop"/>
    <hyperlink ref="G1" location="NT_I!A1" tooltip="Unos podataka u Novčani tijek po indirektnoj metodi" display="NTI"/>
    <hyperlink ref="H1" location="NT_D!A1" tooltip="Unos u Novčani tijek po direktnoj metodi" display="NT_D"/>
    <hyperlink ref="I1" location="PK!A1" tooltip="Unos u Promjene kapitala" display="PK"/>
    <hyperlink ref="J1" location="ListaMB!A1" tooltip="Unos liste matičnih brojeva - subjekata konsolidacije" display="ListaMB"/>
    <hyperlink ref="C2" location="Novosti!A1" tooltip="Novosti vezane uz obrasce ili proizvode FINA-e" display="Novosti"/>
    <hyperlink ref="D2" location="Uputa!A1" tooltip="Uputa o popunjavanju obrazaca" display="Uputa"/>
    <hyperlink ref="E2" location="Kont!A1" tooltip="Pregled popisa kontrola (provjera ispravnosti obrasca)" display="Kontrole"/>
    <hyperlink ref="F2" location="Djel!A1" tooltip="Šifarnik djelatnosti (prema NKD 2007)" display="Djel"/>
    <hyperlink ref="G2" location="Opcine!A1" tooltip="Šifarnik općina / gradova" display="Opcine"/>
    <hyperlink ref="H2" location="Promjene!A1" tooltip="Popis promjena u Excel datoteci po verzijama" display="Prom"/>
  </hyperlinks>
  <printOptions horizontalCentered="1"/>
  <pageMargins left="0.5511811023622047" right="0.5511811023622047" top="0.7874015748031497" bottom="0.7874015748031497" header="0.5905511811023623" footer="0.5905511811023623"/>
  <pageSetup fitToHeight="1" fitToWidth="1" horizontalDpi="1200" verticalDpi="12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Ninoslava Podnar</cp:lastModifiedBy>
  <cp:lastPrinted>2014-06-18T09:12:46Z</cp:lastPrinted>
  <dcterms:created xsi:type="dcterms:W3CDTF">2008-10-17T11:51:54Z</dcterms:created>
  <dcterms:modified xsi:type="dcterms:W3CDTF">2014-06-18T09:12:53Z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